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D資料備份\◎2022供應商整理資料\"/>
    </mc:Choice>
  </mc:AlternateContent>
  <bookViews>
    <workbookView xWindow="-110" yWindow="-110" windowWidth="23260" windowHeight="1258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16" i="5" s="1"/>
  <c r="B2500" i="5"/>
  <c r="C2500" i="5"/>
  <c r="AB2500" i="5"/>
  <c r="V2500" i="5"/>
  <c r="E2500" i="5"/>
  <c r="X2500" i="5" s="1"/>
  <c r="T2500" i="5"/>
  <c r="S2500" i="5"/>
  <c r="R2500" i="5"/>
  <c r="J2500" i="5"/>
  <c r="I2500" i="5"/>
  <c r="H2500" i="5"/>
  <c r="G2500" i="5"/>
  <c r="F2500" i="5"/>
  <c r="B54" i="6"/>
  <c r="B53" i="6"/>
  <c r="P27" i="4"/>
  <c r="G54" i="6"/>
  <c r="G53" i="6"/>
  <c r="B58" i="6"/>
  <c r="G58" i="6" s="1"/>
  <c r="B56" i="6"/>
  <c r="G56" i="6"/>
  <c r="K63" i="6"/>
  <c r="K64" i="6"/>
  <c r="B51" i="6"/>
  <c r="G51" i="6"/>
  <c r="B21" i="6"/>
  <c r="B20" i="6"/>
  <c r="B19" i="5"/>
  <c r="B23" i="5"/>
  <c r="AB23" i="5" s="1"/>
  <c r="B27" i="5"/>
  <c r="B31" i="5"/>
  <c r="AB31" i="5" s="1"/>
  <c r="B35"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AB11" i="5" s="1"/>
  <c r="B12" i="5"/>
  <c r="B13" i="5"/>
  <c r="B14" i="5"/>
  <c r="B15" i="5"/>
  <c r="G21" i="6"/>
  <c r="B84" i="4"/>
  <c r="P35" i="4"/>
  <c r="P34" i="4"/>
  <c r="C5" i="5"/>
  <c r="C6" i="5"/>
  <c r="C7" i="5"/>
  <c r="C8" i="5"/>
  <c r="C9" i="5"/>
  <c r="C10" i="5"/>
  <c r="AB10" i="5" s="1"/>
  <c r="C11" i="5"/>
  <c r="V11" i="5" s="1"/>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V39" i="5" s="1"/>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H60" i="6" s="1"/>
  <c r="D60" i="6" s="1"/>
  <c r="V2339" i="5"/>
  <c r="V2347" i="5"/>
  <c r="F2347" i="5"/>
  <c r="V2359" i="5"/>
  <c r="V2403" i="5"/>
  <c r="V2451" i="5"/>
  <c r="I2451" i="5"/>
  <c r="V2495" i="5"/>
  <c r="R2495" i="5"/>
  <c r="D11" i="4"/>
  <c r="B59" i="6"/>
  <c r="G59" i="6" s="1"/>
  <c r="B55" i="6"/>
  <c r="G55" i="6" s="1"/>
  <c r="B50" i="6"/>
  <c r="G50" i="6" s="1"/>
  <c r="H50" i="6" s="1"/>
  <c r="D50" i="6" s="1"/>
  <c r="B49" i="6"/>
  <c r="G49" i="6"/>
  <c r="B48" i="6"/>
  <c r="G48" i="6" s="1"/>
  <c r="H48" i="6" s="1"/>
  <c r="D48" i="6" s="1"/>
  <c r="B46" i="6"/>
  <c r="G46" i="6"/>
  <c r="B45" i="6"/>
  <c r="G45" i="6"/>
  <c r="B44" i="6"/>
  <c r="G44" i="6"/>
  <c r="B43" i="6"/>
  <c r="G43" i="6" s="1"/>
  <c r="B41" i="6"/>
  <c r="G41" i="6"/>
  <c r="B40" i="6"/>
  <c r="G40" i="6"/>
  <c r="B39" i="6"/>
  <c r="G39" i="6"/>
  <c r="B38" i="6"/>
  <c r="G38" i="6" s="1"/>
  <c r="H38" i="6" s="1"/>
  <c r="D38" i="6" s="1"/>
  <c r="B36" i="6"/>
  <c r="G36" i="6"/>
  <c r="B35" i="6"/>
  <c r="G35" i="6"/>
  <c r="B34" i="6"/>
  <c r="G34" i="6"/>
  <c r="B33" i="6"/>
  <c r="G33" i="6" s="1"/>
  <c r="B31" i="6"/>
  <c r="G31" i="6"/>
  <c r="B30" i="6"/>
  <c r="G30" i="6"/>
  <c r="B29" i="6"/>
  <c r="G29" i="6"/>
  <c r="H29" i="6"/>
  <c r="D29" i="6"/>
  <c r="B28" i="6"/>
  <c r="G28" i="6"/>
  <c r="B26" i="6"/>
  <c r="G26" i="6"/>
  <c r="B18" i="6"/>
  <c r="F26" i="6"/>
  <c r="B25" i="6"/>
  <c r="G25" i="6"/>
  <c r="B24" i="6"/>
  <c r="G24" i="6"/>
  <c r="B23" i="6"/>
  <c r="G23" i="6" s="1"/>
  <c r="H23" i="6" s="1"/>
  <c r="D23" i="6" s="1"/>
  <c r="B17" i="6"/>
  <c r="F25" i="6"/>
  <c r="B16" i="6"/>
  <c r="B15" i="6"/>
  <c r="H14" i="6"/>
  <c r="B13" i="6"/>
  <c r="G13" i="6" s="1"/>
  <c r="H13" i="6" s="1"/>
  <c r="D13" i="6" s="1"/>
  <c r="B12" i="6"/>
  <c r="G12" i="6"/>
  <c r="H12" i="6"/>
  <c r="D12" i="6"/>
  <c r="B11" i="6"/>
  <c r="G11" i="6" s="1"/>
  <c r="H11" i="6" s="1"/>
  <c r="D11" i="6" s="1"/>
  <c r="B10" i="6"/>
  <c r="G10" i="6" s="1"/>
  <c r="H10" i="6" s="1"/>
  <c r="D10" i="6" s="1"/>
  <c r="B9" i="6"/>
  <c r="G9" i="6" s="1"/>
  <c r="H9" i="6" s="1"/>
  <c r="D9" i="6" s="1"/>
  <c r="B8" i="6"/>
  <c r="G8" i="6"/>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s="1"/>
  <c r="V27" i="5"/>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H6" i="6" s="1"/>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AB278"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S84" i="5"/>
  <c r="S64" i="5"/>
  <c r="T56" i="5"/>
  <c r="S62" i="5"/>
  <c r="T52" i="5"/>
  <c r="S80" i="5"/>
  <c r="S58" i="5"/>
  <c r="S52" i="5"/>
  <c r="S70" i="5"/>
  <c r="T84" i="5"/>
  <c r="S81" i="5"/>
  <c r="S79" i="5"/>
  <c r="T62" i="5"/>
  <c r="S42" i="5"/>
  <c r="S48" i="5"/>
  <c r="S90" i="5"/>
  <c r="T48" i="5"/>
  <c r="T87" i="5"/>
  <c r="S44" i="5"/>
  <c r="S8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R1511" i="5"/>
  <c r="G1435" i="5"/>
  <c r="J2491" i="5"/>
  <c r="I1711" i="5"/>
  <c r="J1711" i="5"/>
  <c r="S962" i="5"/>
  <c r="H2440"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R142" i="5"/>
  <c r="H920" i="5"/>
  <c r="F1855" i="5"/>
  <c r="I1435" i="5"/>
  <c r="E2459" i="5"/>
  <c r="X2459" i="5" s="1"/>
  <c r="T869" i="5"/>
  <c r="J560" i="5"/>
  <c r="G560" i="5"/>
  <c r="H264" i="5"/>
  <c r="E1302" i="5"/>
  <c r="X1302" i="5" s="1"/>
  <c r="J2300" i="5"/>
  <c r="F2375"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R48" i="5"/>
  <c r="F112" i="5"/>
  <c r="H751" i="5"/>
  <c r="F2243" i="5"/>
  <c r="J2107" i="5"/>
  <c r="G355" i="5"/>
  <c r="J1451" i="5"/>
  <c r="S311" i="5"/>
  <c r="T682" i="5"/>
  <c r="E1000" i="5"/>
  <c r="X1000" i="5" s="1"/>
  <c r="E1179" i="5"/>
  <c r="X1179" i="5" s="1"/>
  <c r="J70" i="5"/>
  <c r="T70" i="5"/>
  <c r="F198" i="5"/>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E1776" i="5"/>
  <c r="X1776" i="5" s="1"/>
  <c r="H1351" i="5"/>
  <c r="T718" i="5"/>
  <c r="S826" i="5"/>
  <c r="T1223" i="5"/>
  <c r="AB1126" i="5"/>
  <c r="T1194" i="5"/>
  <c r="T1089" i="5"/>
  <c r="T924" i="5"/>
  <c r="T1151" i="5"/>
  <c r="S839"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s="1"/>
  <c r="AB12" i="5"/>
  <c r="V14" i="5"/>
  <c r="H14" i="5" s="1"/>
  <c r="A5" i="2"/>
  <c r="C2" i="6"/>
  <c r="R520" i="5"/>
  <c r="E1040" i="5"/>
  <c r="X1040" i="5" s="1"/>
  <c r="T74" i="5"/>
  <c r="H731" i="5"/>
  <c r="H182" i="5"/>
  <c r="R342" i="5"/>
  <c r="E118" i="5"/>
  <c r="X118" i="5" s="1"/>
  <c r="H54" i="5"/>
  <c r="J912" i="5"/>
  <c r="J96"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R54" i="5"/>
  <c r="I118" i="5"/>
  <c r="R182" i="5"/>
  <c r="F1040" i="5"/>
  <c r="F1550" i="5"/>
  <c r="E1614" i="5"/>
  <c r="X1614" i="5" s="1"/>
  <c r="E96" i="5"/>
  <c r="X96" i="5" s="1"/>
  <c r="I160" i="5"/>
  <c r="F224" i="5"/>
  <c r="F1528" i="5"/>
  <c r="I1331" i="5"/>
  <c r="J568" i="5"/>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F1680" i="5"/>
  <c r="R2421" i="5"/>
  <c r="G1614" i="5"/>
  <c r="I2304" i="5"/>
  <c r="R400" i="5"/>
  <c r="F400" i="5"/>
  <c r="I1476" i="5"/>
  <c r="F1062" i="5"/>
  <c r="J54" i="5"/>
  <c r="J182" i="5"/>
  <c r="F520" i="5"/>
  <c r="I976" i="5"/>
  <c r="J1476" i="5"/>
  <c r="H224" i="5"/>
  <c r="G336" i="5"/>
  <c r="E54" i="5"/>
  <c r="X54" i="5" s="1"/>
  <c r="H118" i="5"/>
  <c r="E182" i="5"/>
  <c r="X182" i="5" s="1"/>
  <c r="E520" i="5"/>
  <c r="X520" i="5" s="1"/>
  <c r="E976" i="5"/>
  <c r="X976" i="5" s="1"/>
  <c r="H1680" i="5"/>
  <c r="H160" i="5"/>
  <c r="E224" i="5"/>
  <c r="X224" i="5" s="1"/>
  <c r="R464" i="5"/>
  <c r="I342"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I305" i="5"/>
  <c r="H2497"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G6" i="5" s="1"/>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58" i="5"/>
  <c r="S77" i="5"/>
  <c r="S76" i="5"/>
  <c r="T51" i="5"/>
  <c r="S91" i="5"/>
  <c r="T49" i="5"/>
  <c r="S71" i="5"/>
  <c r="T54" i="5"/>
  <c r="T60" i="5"/>
  <c r="T63" i="5"/>
  <c r="T59" i="5"/>
  <c r="T50" i="5"/>
  <c r="T47" i="5"/>
  <c r="S53" i="5"/>
  <c r="S55" i="5"/>
  <c r="T46" i="5"/>
  <c r="S83" i="5"/>
  <c r="T80" i="5"/>
  <c r="S63" i="5"/>
  <c r="S65" i="5"/>
  <c r="T72" i="5"/>
  <c r="T77" i="5"/>
  <c r="S86" i="5"/>
  <c r="T43" i="5"/>
  <c r="T73" i="5"/>
  <c r="T88" i="5"/>
  <c r="T57" i="5"/>
  <c r="T76" i="5"/>
  <c r="T89" i="5"/>
  <c r="T40" i="5"/>
  <c r="H1820" i="5"/>
  <c r="G2116" i="5"/>
  <c r="R2084" i="5"/>
  <c r="E2116" i="5"/>
  <c r="X2116" i="5" s="1"/>
  <c r="H1812" i="5"/>
  <c r="J2084" i="5"/>
  <c r="G2084" i="5"/>
  <c r="R1708" i="5"/>
  <c r="G2100" i="5"/>
  <c r="R2100" i="5"/>
  <c r="I1380" i="5"/>
  <c r="J8" i="5"/>
  <c r="G1420" i="5"/>
  <c r="J2100" i="5"/>
  <c r="J2492" i="5"/>
  <c r="I1420" i="5"/>
  <c r="H1788" i="5"/>
  <c r="F1420" i="5"/>
  <c r="E1388" i="5"/>
  <c r="X1388" i="5" s="1"/>
  <c r="G8" i="5"/>
  <c r="G1820" i="5"/>
  <c r="E197" i="5"/>
  <c r="X197" i="5" s="1"/>
  <c r="J2412" i="5"/>
  <c r="F1913" i="5"/>
  <c r="G1913" i="5"/>
  <c r="R1913" i="5"/>
  <c r="G2137" i="5"/>
  <c r="I1212" i="5"/>
  <c r="G1812" i="5"/>
  <c r="H1708" i="5"/>
  <c r="G1380" i="5"/>
  <c r="F1380" i="5"/>
  <c r="G1340" i="5"/>
  <c r="E2092" i="5"/>
  <c r="X2092" i="5" s="1"/>
  <c r="J1841" i="5"/>
  <c r="J14" i="5"/>
  <c r="J2441" i="5"/>
  <c r="R2145" i="5"/>
  <c r="H2084" i="5"/>
  <c r="I2420" i="5"/>
  <c r="F765" i="5"/>
  <c r="I1253" i="5"/>
  <c r="E1420" i="5"/>
  <c r="X1420" i="5" s="1"/>
  <c r="E2100" i="5"/>
  <c r="X2100" i="5" s="1"/>
  <c r="R2468" i="5"/>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A29" i="6"/>
  <c r="AB15" i="5"/>
  <c r="V12" i="5"/>
  <c r="J12" i="5" s="1"/>
  <c r="AB8" i="5"/>
  <c r="V10" i="5"/>
  <c r="E10" i="5" s="1"/>
  <c r="AB9" i="5"/>
  <c r="V9" i="5"/>
  <c r="E9" i="5"/>
  <c r="X9" i="5" s="1"/>
  <c r="AB13" i="5"/>
  <c r="G14" i="5"/>
  <c r="V15" i="5"/>
  <c r="F15" i="5" s="1"/>
  <c r="AB14" i="5"/>
  <c r="H8" i="5"/>
  <c r="R8" i="5"/>
  <c r="F8" i="5"/>
  <c r="V13" i="5"/>
  <c r="G13" i="5" s="1"/>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S46" i="5"/>
  <c r="S40" i="5"/>
  <c r="S54" i="5"/>
  <c r="S66" i="5"/>
  <c r="S78" i="5"/>
  <c r="S89" i="5"/>
  <c r="S75" i="5"/>
  <c r="S51" i="5"/>
  <c r="S49" i="5"/>
  <c r="S73" i="5"/>
  <c r="S85" i="5"/>
  <c r="S68" i="5"/>
  <c r="S88" i="5"/>
  <c r="S43" i="5"/>
  <c r="S57" i="5"/>
  <c r="S35" i="5"/>
  <c r="T61" i="5"/>
  <c r="T69" i="5"/>
  <c r="S59" i="5"/>
  <c r="S56" i="5"/>
  <c r="S72" i="5"/>
  <c r="S50" i="5"/>
  <c r="S41" i="5"/>
  <c r="T45" i="5"/>
  <c r="S60" i="5"/>
  <c r="S27" i="5"/>
  <c r="S74" i="5"/>
  <c r="S14" i="5"/>
  <c r="J6" i="5"/>
  <c r="S93" i="5"/>
  <c r="F9" i="5"/>
  <c r="H9" i="5"/>
  <c r="R10" i="5"/>
  <c r="S69" i="5"/>
  <c r="S61" i="5"/>
  <c r="S45" i="5"/>
  <c r="E6" i="5"/>
  <c r="X6" i="5" s="1"/>
  <c r="F24" i="6"/>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F67" i="5"/>
  <c r="E1691" i="5"/>
  <c r="X1691" i="5" s="1"/>
  <c r="E999" i="5"/>
  <c r="X999" i="5" s="1"/>
  <c r="R904" i="5"/>
  <c r="G83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772" i="5"/>
  <c r="X1772" i="5" s="1"/>
  <c r="I421" i="5"/>
  <c r="H1853" i="5"/>
  <c r="F1741" i="5"/>
  <c r="F1709" i="5"/>
  <c r="E1117" i="5"/>
  <c r="X1117" i="5" s="1"/>
  <c r="E821" i="5"/>
  <c r="X821" i="5" s="1"/>
  <c r="E789" i="5"/>
  <c r="X789" i="5" s="1"/>
  <c r="I661" i="5"/>
  <c r="H1317" i="5"/>
  <c r="H1021" i="5"/>
  <c r="F581" i="5"/>
  <c r="G508" i="5"/>
  <c r="J2476" i="5"/>
  <c r="E924" i="5"/>
  <c r="X924" i="5" s="1"/>
  <c r="E1697" i="5"/>
  <c r="X1697" i="5" s="1"/>
  <c r="R1521" i="5"/>
  <c r="I1737" i="5"/>
  <c r="E684" i="5"/>
  <c r="X684" i="5" s="1"/>
  <c r="J1748" i="5"/>
  <c r="E1748" i="5"/>
  <c r="X1748" i="5" s="1"/>
  <c r="G1371" i="5"/>
  <c r="J2498" i="5"/>
  <c r="E268" i="5"/>
  <c r="X268" i="5" s="1"/>
  <c r="F268"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C4" i="6" s="1"/>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B56" i="4" s="1"/>
  <c r="A38" i="6" s="1"/>
  <c r="J31" i="6"/>
  <c r="J13" i="6"/>
  <c r="J55" i="6"/>
  <c r="I12" i="6"/>
  <c r="C12" i="6" s="1"/>
  <c r="I60" i="6"/>
  <c r="I39" i="6"/>
  <c r="J49" i="6"/>
  <c r="B3" i="6"/>
  <c r="A4" i="8"/>
  <c r="I51" i="6"/>
  <c r="J40" i="6"/>
  <c r="I43" i="6"/>
  <c r="I31" i="6"/>
  <c r="C31" i="6" s="1"/>
  <c r="B22" i="3"/>
  <c r="B4" i="8"/>
  <c r="J38" i="6"/>
  <c r="B34" i="4"/>
  <c r="I20" i="6"/>
  <c r="J28" i="6"/>
  <c r="C28" i="6" s="1"/>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65" i="4" s="1"/>
  <c r="A46" i="6" s="1"/>
  <c r="I8" i="6"/>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55"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H1356" i="5"/>
  <c r="R2004" i="5"/>
  <c r="E228" i="5"/>
  <c r="X228" i="5" s="1"/>
  <c r="G2004" i="5"/>
  <c r="G149" i="5"/>
  <c r="G1381" i="5"/>
  <c r="J1412" i="5"/>
  <c r="J1777" i="5"/>
  <c r="E8" i="5"/>
  <c r="X8" i="5" s="1"/>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G63" i="6"/>
  <c r="AB2498" i="5"/>
  <c r="G64" i="6"/>
  <c r="H21" i="6"/>
  <c r="D21" i="6" s="1"/>
  <c r="G5" i="6"/>
  <c r="H5" i="6" s="1"/>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c r="G20" i="6"/>
  <c r="E2363" i="5"/>
  <c r="X2363" i="5" s="1"/>
  <c r="I2363" i="5"/>
  <c r="H2363" i="5"/>
  <c r="J2363" i="5"/>
  <c r="R1619" i="5"/>
  <c r="H1619" i="5"/>
  <c r="I1619" i="5"/>
  <c r="E1619" i="5"/>
  <c r="X1619" i="5" s="1"/>
  <c r="J1619" i="5"/>
  <c r="F1619" i="5"/>
  <c r="F48" i="6"/>
  <c r="F54" i="6" s="1"/>
  <c r="H54" i="6" s="1"/>
  <c r="D54"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K61" i="6"/>
  <c r="D15" i="6"/>
  <c r="F39" i="6"/>
  <c r="H39" i="6" s="1"/>
  <c r="D39" i="6" s="1"/>
  <c r="F62" i="6"/>
  <c r="F34" i="6"/>
  <c r="H34" i="6" s="1"/>
  <c r="D34" i="6" s="1"/>
  <c r="F33" i="6"/>
  <c r="F61" i="6"/>
  <c r="B2" i="6" s="1"/>
  <c r="F28" i="6"/>
  <c r="H28" i="6"/>
  <c r="D28" i="6" s="1"/>
  <c r="F43" i="6"/>
  <c r="F38" i="6"/>
  <c r="F49" i="6"/>
  <c r="H49" i="6" s="1"/>
  <c r="D49" i="6" s="1"/>
  <c r="F53" i="6"/>
  <c r="F55" i="6"/>
  <c r="F59" i="6"/>
  <c r="F63" i="6"/>
  <c r="F64" i="6"/>
  <c r="F58" i="6"/>
  <c r="F50" i="6"/>
  <c r="F51" i="6" s="1"/>
  <c r="F56" i="6"/>
  <c r="H56" i="6" s="1"/>
  <c r="T35" i="5"/>
  <c r="T14" i="5"/>
  <c r="T12" i="5"/>
  <c r="T8" i="5"/>
  <c r="T27" i="5"/>
  <c r="T9" i="5"/>
  <c r="T23" i="5"/>
  <c r="T10" i="5"/>
  <c r="T6" i="5"/>
  <c r="I39" i="5" l="1"/>
  <c r="H39" i="5"/>
  <c r="G39" i="5"/>
  <c r="F39" i="5"/>
  <c r="J39" i="5"/>
  <c r="R39" i="5"/>
  <c r="E39" i="5"/>
  <c r="R11" i="5"/>
  <c r="J11" i="5"/>
  <c r="E11" i="5"/>
  <c r="X11" i="5" s="1"/>
  <c r="G11" i="5"/>
  <c r="H11" i="5"/>
  <c r="F11" i="5"/>
  <c r="I11" i="5"/>
  <c r="V16" i="5"/>
  <c r="AB16" i="5"/>
  <c r="X10" i="5"/>
  <c r="S10" i="5"/>
  <c r="X7" i="5"/>
  <c r="S7" i="5"/>
  <c r="J13" i="5"/>
  <c r="V19" i="5"/>
  <c r="B38" i="5"/>
  <c r="B30" i="5"/>
  <c r="B22" i="5"/>
  <c r="I15" i="5"/>
  <c r="F13" i="5"/>
  <c r="I13" i="5"/>
  <c r="I10" i="5"/>
  <c r="E13" i="5"/>
  <c r="S8" i="5"/>
  <c r="S23" i="5"/>
  <c r="G7" i="5"/>
  <c r="F12" i="5"/>
  <c r="B37" i="5"/>
  <c r="B29" i="5"/>
  <c r="B21" i="5"/>
  <c r="R15" i="5"/>
  <c r="H13" i="5"/>
  <c r="S12" i="5"/>
  <c r="R7" i="5"/>
  <c r="I7" i="5"/>
  <c r="V31" i="5"/>
  <c r="B36" i="5"/>
  <c r="B28" i="5"/>
  <c r="B20" i="5"/>
  <c r="B5" i="5"/>
  <c r="H12" i="5"/>
  <c r="F6" i="5"/>
  <c r="F7" i="5"/>
  <c r="I6" i="5"/>
  <c r="G15" i="5"/>
  <c r="S9" i="5"/>
  <c r="S11" i="5"/>
  <c r="H7" i="5"/>
  <c r="B34" i="5"/>
  <c r="B26" i="5"/>
  <c r="B18" i="5"/>
  <c r="E15" i="5"/>
  <c r="I12" i="5"/>
  <c r="J15" i="5"/>
  <c r="R6" i="5"/>
  <c r="J7" i="5"/>
  <c r="B33" i="5"/>
  <c r="B25" i="5"/>
  <c r="B17" i="5"/>
  <c r="H15" i="5"/>
  <c r="S6" i="5"/>
  <c r="B32" i="5"/>
  <c r="B24" i="5"/>
  <c r="H59" i="6"/>
  <c r="D59" i="6" s="1"/>
  <c r="H58" i="6"/>
  <c r="D58" i="6" s="1"/>
  <c r="H55" i="6"/>
  <c r="H53" i="6"/>
  <c r="D53" i="6" s="1"/>
  <c r="H51" i="6"/>
  <c r="D51" i="6" s="1"/>
  <c r="H43" i="6"/>
  <c r="D43" i="6" s="1"/>
  <c r="A25" i="6"/>
  <c r="H33" i="6"/>
  <c r="D33" i="6" s="1"/>
  <c r="H20" i="6"/>
  <c r="D20" i="6" s="1"/>
  <c r="C24" i="6"/>
  <c r="D55" i="6"/>
  <c r="C55" i="6"/>
  <c r="D16" i="6"/>
  <c r="K62" i="6"/>
  <c r="C44" i="6"/>
  <c r="B49" i="4"/>
  <c r="A32" i="6" s="1"/>
  <c r="C16" i="6"/>
  <c r="C39" i="6"/>
  <c r="C21" i="6"/>
  <c r="C34" i="6"/>
  <c r="D56" i="6"/>
  <c r="C56" i="6"/>
  <c r="C51" i="6"/>
  <c r="C49" i="6"/>
  <c r="C50" i="6"/>
  <c r="C38" i="6"/>
  <c r="C53" i="6"/>
  <c r="C54" i="6"/>
  <c r="C59" i="6"/>
  <c r="C43" i="6"/>
  <c r="C23" i="6"/>
  <c r="C20" i="6"/>
  <c r="B61" i="4"/>
  <c r="A42" i="6" s="1"/>
  <c r="B55" i="4"/>
  <c r="A37" i="6" s="1"/>
  <c r="B37" i="4"/>
  <c r="A22" i="6" s="1"/>
  <c r="C15" i="6"/>
  <c r="C48" i="6"/>
  <c r="G68" i="4"/>
  <c r="C13" i="6"/>
  <c r="G55" i="4"/>
  <c r="C11" i="6"/>
  <c r="C10" i="6"/>
  <c r="G49" i="4"/>
  <c r="B47" i="4"/>
  <c r="A31" i="6" s="1"/>
  <c r="B59" i="4"/>
  <c r="A41" i="6" s="1"/>
  <c r="G61" i="4"/>
  <c r="A26" i="6"/>
  <c r="B53" i="4"/>
  <c r="A36" i="6" s="1"/>
  <c r="G31" i="4"/>
  <c r="C9" i="6"/>
  <c r="B46" i="4"/>
  <c r="A30" i="6" s="1"/>
  <c r="D68" i="4"/>
  <c r="C8" i="6"/>
  <c r="B64" i="4"/>
  <c r="A45" i="6" s="1"/>
  <c r="B52" i="4"/>
  <c r="A35" i="6" s="1"/>
  <c r="D49" i="4"/>
  <c r="C6" i="6"/>
  <c r="C7" i="6"/>
  <c r="G37" i="4"/>
  <c r="D5" i="6"/>
  <c r="C5" i="6"/>
  <c r="B62" i="4"/>
  <c r="A43" i="6" s="1"/>
  <c r="B74" i="4"/>
  <c r="A53" i="6" s="1"/>
  <c r="B44" i="4"/>
  <c r="A28" i="6" s="1"/>
  <c r="B50" i="4"/>
  <c r="A33" i="6" s="1"/>
  <c r="A23" i="6"/>
  <c r="C60" i="6"/>
  <c r="D61" i="4"/>
  <c r="B63" i="4"/>
  <c r="A44" i="6" s="1"/>
  <c r="D37" i="4"/>
  <c r="B75" i="4"/>
  <c r="A54" i="6" s="1"/>
  <c r="B57" i="4"/>
  <c r="A39" i="6" s="1"/>
  <c r="D43" i="4"/>
  <c r="D31" i="4"/>
  <c r="A24" i="6"/>
  <c r="T13" i="5"/>
  <c r="T15" i="5"/>
  <c r="T7" i="5"/>
  <c r="T11" i="5"/>
  <c r="T39" i="5"/>
  <c r="V17" i="5" l="1"/>
  <c r="AB17" i="5"/>
  <c r="AB18" i="5"/>
  <c r="V18" i="5"/>
  <c r="V36" i="5"/>
  <c r="AB36" i="5"/>
  <c r="V29" i="5"/>
  <c r="AB29" i="5"/>
  <c r="AB25" i="5"/>
  <c r="V25" i="5"/>
  <c r="AB26" i="5"/>
  <c r="V26" i="5"/>
  <c r="R31" i="5"/>
  <c r="J31" i="5"/>
  <c r="H31" i="5"/>
  <c r="I31" i="5"/>
  <c r="G31" i="5"/>
  <c r="F31" i="5"/>
  <c r="E31" i="5"/>
  <c r="V37" i="5"/>
  <c r="AB37" i="5"/>
  <c r="X39" i="5"/>
  <c r="S39" i="5"/>
  <c r="V33" i="5"/>
  <c r="AB33" i="5"/>
  <c r="AB34" i="5"/>
  <c r="V34" i="5"/>
  <c r="V22" i="5"/>
  <c r="AB22" i="5"/>
  <c r="V24" i="5"/>
  <c r="AB24" i="5"/>
  <c r="V30" i="5"/>
  <c r="AB30" i="5"/>
  <c r="AB32" i="5"/>
  <c r="V32" i="5"/>
  <c r="AB5" i="5"/>
  <c r="V5" i="5"/>
  <c r="G61" i="6"/>
  <c r="H61" i="6" s="1"/>
  <c r="D61" i="6" s="1"/>
  <c r="H64" i="6"/>
  <c r="H63" i="6"/>
  <c r="AB38" i="5"/>
  <c r="V38" i="5"/>
  <c r="AB20" i="5"/>
  <c r="V20" i="5"/>
  <c r="X13" i="5"/>
  <c r="S13" i="5"/>
  <c r="I19" i="5"/>
  <c r="R19" i="5"/>
  <c r="F19" i="5"/>
  <c r="H19" i="5"/>
  <c r="J19" i="5"/>
  <c r="E19" i="5"/>
  <c r="X15" i="5"/>
  <c r="S15" i="5"/>
  <c r="V28" i="5"/>
  <c r="AB28" i="5"/>
  <c r="AB21" i="5"/>
  <c r="G62" i="6" s="1"/>
  <c r="H62" i="6" s="1"/>
  <c r="V21" i="5"/>
  <c r="H16" i="5"/>
  <c r="E16" i="5"/>
  <c r="J16" i="5"/>
  <c r="G16" i="5"/>
  <c r="R16" i="5"/>
  <c r="F16" i="5"/>
  <c r="I16" i="5"/>
  <c r="G19" i="5"/>
  <c r="C58" i="6"/>
  <c r="C33" i="6"/>
  <c r="T16" i="5"/>
  <c r="T31" i="5"/>
  <c r="T19" i="5"/>
  <c r="D62" i="6" l="1"/>
  <c r="C62" i="6"/>
  <c r="J38" i="5"/>
  <c r="I38" i="5"/>
  <c r="H38" i="5"/>
  <c r="R38" i="5"/>
  <c r="G38" i="5"/>
  <c r="F38" i="5"/>
  <c r="E38" i="5"/>
  <c r="F5" i="5"/>
  <c r="H5" i="5"/>
  <c r="R5" i="5"/>
  <c r="G5" i="5"/>
  <c r="J5" i="5"/>
  <c r="E5" i="5"/>
  <c r="I5" i="5"/>
  <c r="G30" i="5"/>
  <c r="J30" i="5"/>
  <c r="F30" i="5"/>
  <c r="R30" i="5"/>
  <c r="H30" i="5"/>
  <c r="E30" i="5"/>
  <c r="I30" i="5"/>
  <c r="R37" i="5"/>
  <c r="J37" i="5"/>
  <c r="G37" i="5"/>
  <c r="E37" i="5"/>
  <c r="H37" i="5"/>
  <c r="I37" i="5"/>
  <c r="F37" i="5"/>
  <c r="I18" i="5"/>
  <c r="J18" i="5"/>
  <c r="E18" i="5"/>
  <c r="F18" i="5"/>
  <c r="R18" i="5"/>
  <c r="H18" i="5"/>
  <c r="G18" i="5"/>
  <c r="F21" i="5"/>
  <c r="I21" i="5"/>
  <c r="R21" i="5"/>
  <c r="G21" i="5"/>
  <c r="J21" i="5"/>
  <c r="E21" i="5"/>
  <c r="H21" i="5"/>
  <c r="E33" i="5"/>
  <c r="I33" i="5"/>
  <c r="J33" i="5"/>
  <c r="G33" i="5"/>
  <c r="R33" i="5"/>
  <c r="F33" i="5"/>
  <c r="H33" i="5"/>
  <c r="X31" i="5"/>
  <c r="S31" i="5"/>
  <c r="C61" i="6"/>
  <c r="J22" i="5"/>
  <c r="I22" i="5"/>
  <c r="H22" i="5"/>
  <c r="G22" i="5"/>
  <c r="F22" i="5"/>
  <c r="E22" i="5"/>
  <c r="R22" i="5"/>
  <c r="H26" i="5"/>
  <c r="I26" i="5"/>
  <c r="F26" i="5"/>
  <c r="G26" i="5"/>
  <c r="E26" i="5"/>
  <c r="J26" i="5"/>
  <c r="R26" i="5"/>
  <c r="E29" i="5"/>
  <c r="F29" i="5"/>
  <c r="J29" i="5"/>
  <c r="R29" i="5"/>
  <c r="G29" i="5"/>
  <c r="H29" i="5"/>
  <c r="I29" i="5"/>
  <c r="X19" i="5"/>
  <c r="S19" i="5"/>
  <c r="R20" i="5"/>
  <c r="F20" i="5"/>
  <c r="G20" i="5"/>
  <c r="I20" i="5"/>
  <c r="H20" i="5"/>
  <c r="J20" i="5"/>
  <c r="E20" i="5"/>
  <c r="H32" i="5"/>
  <c r="R32" i="5"/>
  <c r="G32" i="5"/>
  <c r="I32" i="5"/>
  <c r="J32" i="5"/>
  <c r="E32" i="5"/>
  <c r="F32" i="5"/>
  <c r="G34" i="5"/>
  <c r="E34" i="5"/>
  <c r="I34" i="5"/>
  <c r="J34" i="5"/>
  <c r="F34" i="5"/>
  <c r="H34" i="5"/>
  <c r="R34" i="5"/>
  <c r="F25" i="5"/>
  <c r="R25" i="5"/>
  <c r="H25" i="5"/>
  <c r="J25" i="5"/>
  <c r="I25" i="5"/>
  <c r="E25" i="5"/>
  <c r="G25" i="5"/>
  <c r="G24" i="5"/>
  <c r="I24" i="5"/>
  <c r="F24" i="5"/>
  <c r="E24" i="5"/>
  <c r="R24" i="5"/>
  <c r="J24" i="5"/>
  <c r="H24" i="5"/>
  <c r="R17" i="5"/>
  <c r="F17" i="5"/>
  <c r="J17" i="5"/>
  <c r="H17" i="5"/>
  <c r="G17" i="5"/>
  <c r="E17" i="5"/>
  <c r="I17" i="5"/>
  <c r="H66" i="6"/>
  <c r="D2" i="6" s="1"/>
  <c r="X16" i="5"/>
  <c r="S16" i="5"/>
  <c r="R28" i="5"/>
  <c r="H28" i="5"/>
  <c r="I28" i="5"/>
  <c r="J28" i="5"/>
  <c r="G28" i="5"/>
  <c r="F28" i="5"/>
  <c r="E28" i="5"/>
  <c r="J36" i="5"/>
  <c r="I36" i="5"/>
  <c r="E36" i="5"/>
  <c r="R36" i="5"/>
  <c r="H36" i="5"/>
  <c r="G36" i="5"/>
  <c r="F36" i="5"/>
  <c r="T37" i="5"/>
  <c r="T30" i="5"/>
  <c r="T21" i="5"/>
  <c r="T32" i="5"/>
  <c r="T38" i="5"/>
  <c r="T36" i="5"/>
  <c r="T26" i="5"/>
  <c r="T20" i="5"/>
  <c r="T17" i="5"/>
  <c r="T28" i="5"/>
  <c r="T29" i="5"/>
  <c r="T34" i="5"/>
  <c r="T24" i="5"/>
  <c r="T5" i="5"/>
  <c r="T25" i="5"/>
  <c r="T22" i="5"/>
  <c r="T33" i="5"/>
  <c r="T18" i="5"/>
  <c r="X5" i="5" l="1"/>
  <c r="S5" i="5"/>
  <c r="X17" i="5"/>
  <c r="S17" i="5"/>
  <c r="X24" i="5"/>
  <c r="S24" i="5"/>
  <c r="X34" i="5"/>
  <c r="S34" i="5"/>
  <c r="X29" i="5"/>
  <c r="S29" i="5"/>
  <c r="X30" i="5"/>
  <c r="S30" i="5"/>
  <c r="X36" i="5"/>
  <c r="S36" i="5"/>
  <c r="X20" i="5"/>
  <c r="S20" i="5"/>
  <c r="X22" i="5"/>
  <c r="S22" i="5"/>
  <c r="X33" i="5"/>
  <c r="S33" i="5"/>
  <c r="X32" i="5"/>
  <c r="S32" i="5"/>
  <c r="X26" i="5"/>
  <c r="S26" i="5"/>
  <c r="X21" i="5"/>
  <c r="S21" i="5"/>
  <c r="X37" i="5"/>
  <c r="S37" i="5"/>
  <c r="X28" i="5"/>
  <c r="S28" i="5"/>
  <c r="X25" i="5"/>
  <c r="S25" i="5"/>
  <c r="X18" i="5"/>
  <c r="S18" i="5"/>
  <c r="X38" i="5"/>
  <c r="S38" i="5"/>
  <c r="G65" i="6" l="1"/>
  <c r="H65" i="6" s="1"/>
</calcChain>
</file>

<file path=xl/sharedStrings.xml><?xml version="1.0" encoding="utf-8"?>
<sst xmlns="http://schemas.openxmlformats.org/spreadsheetml/2006/main" count="15031" uniqueCount="12819">
  <si>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</si>
  <si>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</si>
  <si>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</si>
  <si>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</si>
  <si>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</si>
  <si>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</si>
  <si>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</si>
  <si>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</si>
  <si>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</si>
  <si>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</si>
  <si>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</si>
  <si>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</si>
  <si>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</si>
  <si>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</si>
  <si>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</si>
  <si>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</si>
  <si>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</si>
  <si>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</si>
  <si>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</si>
  <si>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</si>
  <si>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</si>
  <si>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</si>
  <si>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</si>
  <si>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</si>
  <si>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</si>
  <si>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</si>
  <si>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</si>
  <si>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</si>
  <si>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</si>
  <si>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</si>
  <si>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</si>
  <si>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</si>
  <si>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</si>
  <si>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</si>
  <si>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</si>
  <si>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</si>
  <si>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</si>
  <si>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</si>
  <si>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</si>
  <si>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</si>
  <si>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</si>
  <si>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</si>
  <si>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</si>
  <si>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</si>
  <si>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</si>
  <si>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</si>
  <si>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</si>
  <si>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</si>
  <si>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</si>
  <si>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</si>
  <si>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</si>
  <si>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</si>
  <si>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</si>
  <si>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</si>
  <si>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</si>
  <si>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</si>
  <si>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</si>
  <si>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</si>
  <si>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</si>
  <si>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</si>
  <si>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</si>
  <si>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</si>
  <si>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</si>
  <si>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</si>
  <si>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</si>
  <si>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</si>
  <si>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</si>
  <si>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</si>
  <si>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</si>
  <si>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</si>
  <si>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</si>
  <si>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</si>
  <si>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</si>
  <si>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</si>
  <si>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</si>
  <si>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</si>
  <si>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</si>
  <si>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</si>
  <si>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</si>
  <si>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</si>
  <si>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</si>
  <si>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</si>
  <si>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</si>
  <si>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</si>
  <si>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</si>
  <si>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</si>
  <si>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</si>
  <si>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</si>
  <si>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</si>
  <si>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</si>
  <si>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</si>
  <si>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</si>
  <si>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</si>
  <si>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</si>
  <si>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</si>
  <si>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</si>
  <si>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</si>
  <si>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</si>
  <si>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</si>
  <si>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</si>
  <si>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</si>
  <si>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</si>
  <si>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</si>
  <si>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</si>
  <si>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</si>
  <si>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</si>
  <si>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</si>
  <si>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</si>
  <si>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</si>
  <si>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</si>
  <si>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</si>
  <si>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</si>
  <si>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</si>
  <si>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</si>
  <si>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</si>
  <si>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</si>
  <si>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</si>
  <si>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</si>
  <si>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</si>
  <si>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</si>
  <si>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</si>
  <si>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</si>
  <si>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</si>
  <si>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</si>
  <si>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</si>
  <si>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</si>
  <si>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</si>
  <si>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</si>
  <si>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</si>
  <si>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</si>
  <si>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</si>
  <si>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</si>
  <si>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</si>
  <si>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</si>
  <si>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</si>
  <si>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</si>
  <si>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</si>
  <si>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</si>
  <si>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</si>
  <si>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</si>
  <si>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</si>
  <si>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</si>
  <si>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</si>
  <si>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</si>
  <si>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</si>
  <si>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</si>
  <si>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</si>
  <si>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</si>
  <si>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</si>
  <si>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</si>
  <si>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</si>
  <si>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</si>
  <si>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</si>
  <si>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</si>
  <si>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</si>
  <si>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</si>
  <si>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</si>
  <si>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</si>
  <si>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</si>
  <si>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</si>
  <si>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</si>
  <si>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</si>
  <si>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</si>
  <si>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</si>
  <si>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</si>
  <si>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</si>
  <si>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</si>
  <si>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</si>
  <si>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</si>
  <si>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</si>
  <si>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</si>
  <si>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</si>
  <si>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</si>
  <si>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</si>
  <si>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</si>
  <si>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</si>
  <si>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</si>
  <si>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</si>
  <si>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</si>
  <si>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</si>
  <si>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</si>
  <si>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</si>
  <si>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</si>
  <si>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</si>
  <si>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</si>
  <si>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</si>
  <si>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</si>
  <si>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</si>
  <si>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</si>
  <si>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</si>
  <si>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</si>
  <si>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</si>
  <si>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</si>
  <si>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</si>
  <si>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</si>
  <si>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</si>
  <si>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</si>
  <si>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</si>
  <si>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</si>
  <si>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</si>
  <si>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</si>
  <si>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</si>
  <si>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</si>
  <si>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</si>
  <si>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</si>
  <si>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</si>
  <si>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</si>
  <si>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</si>
  <si>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</si>
  <si>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</si>
  <si>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</si>
  <si>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</si>
  <si>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</si>
  <si>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</si>
  <si>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</si>
  <si>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</si>
  <si>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</si>
  <si>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</si>
  <si>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</si>
  <si>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</si>
  <si>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</si>
  <si>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</si>
  <si>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</si>
  <si>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</si>
  <si>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</si>
  <si>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</si>
  <si>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</si>
  <si>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</si>
  <si>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</si>
  <si>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</si>
  <si>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</si>
  <si>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</si>
  <si>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</si>
  <si>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</si>
  <si>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</si>
  <si>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</si>
  <si>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</si>
  <si>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</si>
  <si>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</si>
  <si>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</si>
  <si>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</si>
  <si>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</si>
  <si>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</si>
  <si>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</si>
  <si>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</si>
  <si>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</si>
  <si>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</si>
  <si>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</si>
  <si>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</si>
  <si>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</si>
  <si>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</si>
  <si>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</si>
  <si>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</si>
  <si>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</si>
  <si>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</si>
  <si>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</si>
  <si>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</si>
  <si>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</si>
  <si>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</si>
  <si>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</si>
  <si>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</si>
  <si>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</si>
  <si>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</si>
  <si>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</si>
  <si>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</si>
  <si>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</si>
  <si>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</si>
  <si>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</si>
  <si>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</si>
  <si>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</si>
  <si>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</si>
  <si>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</si>
  <si>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</si>
  <si>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</si>
  <si>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</si>
  <si>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</si>
  <si>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</si>
  <si>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</si>
  <si>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</si>
  <si>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</si>
  <si>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</si>
  <si>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</si>
  <si>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</si>
  <si>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</si>
  <si>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</si>
  <si>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</si>
  <si>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</si>
  <si>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</si>
  <si>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</si>
  <si>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</si>
  <si>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</si>
  <si>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</si>
  <si>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</si>
  <si>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</si>
  <si>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</si>
  <si>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</si>
  <si>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</si>
  <si>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</si>
  <si>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</si>
  <si>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</si>
  <si>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</si>
  <si>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</si>
  <si>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</si>
  <si>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</si>
  <si>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</si>
  <si>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</si>
  <si>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</si>
  <si>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</si>
  <si>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</si>
  <si>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</si>
  <si>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</si>
  <si>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</si>
  <si>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</si>
  <si>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</si>
  <si>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</si>
  <si>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</si>
  <si>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</si>
  <si>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</si>
  <si>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</si>
  <si>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</si>
  <si>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</si>
  <si>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</si>
  <si>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</si>
  <si>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</si>
  <si>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</si>
  <si>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</si>
  <si>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</si>
  <si>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</si>
  <si>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</si>
  <si>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</si>
  <si>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</si>
  <si>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</si>
  <si>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</si>
  <si>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</si>
  <si>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</si>
  <si>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</si>
  <si>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</si>
  <si>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</si>
  <si>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</si>
  <si>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</si>
  <si>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</si>
  <si>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</si>
  <si>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</si>
  <si>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</si>
  <si>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</si>
  <si>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</si>
  <si>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</si>
  <si>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</si>
  <si>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</si>
  <si>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</si>
  <si>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</si>
  <si>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</si>
  <si>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</si>
  <si>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</si>
  <si>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</si>
  <si>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</si>
  <si>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</si>
  <si>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</si>
  <si>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</si>
  <si>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</si>
  <si>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</si>
  <si>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</si>
  <si>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</si>
  <si>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</si>
  <si>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</si>
  <si>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</si>
  <si>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</si>
  <si>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</si>
  <si>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</si>
  <si>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</si>
  <si>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</si>
  <si>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</si>
  <si>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</si>
  <si>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</si>
  <si>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</si>
  <si>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</si>
  <si>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</si>
  <si>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</si>
  <si>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</si>
  <si>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</si>
  <si>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</si>
  <si>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</si>
  <si>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</si>
  <si>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</si>
  <si>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</si>
  <si>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</si>
  <si>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</si>
  <si>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</si>
  <si>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</si>
  <si>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</si>
  <si>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</si>
  <si>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</si>
  <si>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</si>
  <si>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</si>
  <si>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</si>
  <si>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</si>
  <si>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</si>
  <si>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</si>
  <si>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</si>
  <si>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</si>
  <si>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</si>
  <si>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</si>
  <si>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</si>
  <si>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</si>
  <si>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</si>
  <si>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</si>
  <si>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</si>
  <si>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</si>
  <si>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</si>
  <si>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</si>
  <si>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</si>
  <si>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</si>
  <si>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</si>
  <si>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</si>
  <si>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</si>
  <si>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</si>
  <si>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</si>
  <si>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</si>
  <si>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</si>
  <si>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</si>
  <si>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</si>
  <si>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</si>
  <si>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</si>
  <si>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</si>
  <si>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</si>
  <si>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</si>
  <si>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</si>
  <si>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</si>
  <si>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</si>
  <si>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</si>
  <si>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</si>
  <si>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</si>
  <si>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</si>
  <si>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</si>
  <si>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</si>
  <si>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</si>
  <si>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</si>
  <si>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</si>
  <si>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</si>
  <si>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</si>
  <si>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</si>
  <si>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</si>
  <si>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</si>
  <si>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</si>
  <si>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</si>
  <si>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</si>
  <si>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</si>
  <si>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</si>
  <si>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</si>
  <si>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</si>
  <si>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</si>
  <si>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</si>
  <si>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</si>
  <si>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</si>
  <si>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</si>
  <si>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</si>
  <si>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</si>
  <si>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</si>
  <si>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</si>
  <si>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</si>
  <si>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</si>
  <si>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</si>
  <si>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</si>
  <si>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</si>
  <si>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</si>
  <si>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</si>
  <si>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</si>
  <si>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</si>
  <si>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</si>
  <si>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</si>
  <si>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</si>
  <si>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</si>
  <si>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</si>
  <si>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</si>
  <si>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</si>
  <si>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</si>
  <si>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</si>
  <si>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</si>
  <si>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</si>
  <si>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</si>
  <si>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</si>
  <si>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</si>
  <si>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</si>
  <si>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</si>
  <si>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</si>
  <si>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</si>
  <si>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</si>
  <si>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</si>
  <si>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</si>
  <si>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</si>
  <si>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</si>
  <si>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</si>
  <si>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</si>
  <si>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</si>
  <si>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</si>
  <si>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</si>
  <si>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</si>
  <si>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</si>
  <si>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</si>
  <si>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</si>
  <si>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</si>
  <si>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</si>
  <si>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</si>
  <si>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</si>
  <si>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</si>
  <si>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</si>
  <si>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</si>
  <si>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</si>
  <si>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</si>
  <si>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</si>
  <si>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</si>
  <si>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</si>
  <si>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</si>
  <si>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</si>
  <si>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</si>
  <si>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</si>
  <si>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</si>
  <si>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</si>
  <si>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</si>
  <si>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</si>
  <si>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</si>
  <si>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</si>
  <si>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</si>
  <si>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</si>
  <si>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</si>
  <si>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</si>
  <si>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</si>
  <si>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</si>
  <si>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</si>
  <si>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</si>
  <si>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</si>
  <si>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</si>
  <si>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</si>
  <si>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</si>
  <si>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</si>
  <si>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</si>
  <si>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</si>
  <si>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</si>
  <si>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</si>
  <si>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</si>
  <si>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</si>
  <si>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</si>
  <si>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</si>
  <si>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</si>
  <si>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</si>
  <si>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</si>
  <si>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</si>
  <si>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</si>
  <si>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</si>
  <si>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</si>
  <si>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</si>
  <si>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</si>
  <si>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</si>
  <si>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</si>
  <si>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</si>
  <si>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</si>
  <si>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</si>
  <si>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</si>
  <si>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</si>
  <si>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</si>
  <si>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</si>
  <si>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</si>
  <si>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</si>
  <si>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</si>
  <si>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</si>
  <si>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</si>
  <si>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</si>
  <si>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</si>
  <si>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</si>
  <si>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</si>
  <si>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</si>
  <si>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</si>
  <si>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</si>
  <si>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</si>
  <si>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</si>
  <si>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</si>
  <si>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</si>
  <si>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</si>
  <si>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</si>
  <si>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</si>
  <si>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</si>
  <si>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</si>
  <si>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</si>
  <si>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</si>
  <si>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</si>
  <si>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</si>
  <si>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</si>
  <si>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</si>
  <si>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</si>
  <si>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</si>
  <si>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</si>
  <si>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</si>
  <si>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</si>
  <si>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</si>
  <si>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</si>
  <si>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</si>
  <si>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</si>
  <si>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</si>
  <si>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</si>
  <si>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</si>
  <si>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</si>
  <si>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</si>
  <si>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</si>
  <si>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</si>
  <si>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</si>
  <si>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</si>
  <si>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</si>
  <si>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</si>
  <si>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</si>
  <si>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</si>
  <si>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</si>
  <si>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</si>
  <si>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</si>
  <si>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</si>
  <si>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</si>
  <si>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</si>
  <si>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</si>
  <si>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</si>
  <si>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</si>
  <si>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</si>
  <si>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</si>
  <si>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</si>
  <si>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</si>
  <si>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</si>
  <si>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</si>
  <si>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</si>
  <si>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</si>
  <si>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</si>
  <si>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</si>
  <si>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</si>
  <si>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</si>
  <si>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</si>
  <si>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</si>
  <si>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</si>
  <si>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</si>
  <si>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</si>
  <si>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</si>
  <si>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</si>
  <si>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</si>
  <si>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</si>
  <si>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</si>
  <si>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</si>
  <si>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</si>
  <si>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</si>
  <si>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</si>
  <si>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</si>
  <si>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</si>
  <si>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</si>
  <si>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</si>
  <si>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</si>
  <si>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</si>
  <si>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</si>
  <si>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</si>
  <si>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</si>
  <si>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</si>
  <si>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</si>
  <si>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</si>
  <si>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</si>
  <si>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</si>
  <si>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</si>
  <si>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</si>
  <si>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</si>
  <si>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</si>
  <si>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</si>
  <si>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</si>
  <si>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</si>
  <si>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</si>
  <si>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</si>
  <si>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</si>
  <si>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</si>
  <si>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</si>
  <si>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</si>
  <si>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</si>
  <si>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</si>
  <si>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</si>
  <si>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</si>
  <si>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</si>
  <si>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</si>
  <si>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</si>
  <si>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</si>
  <si>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</si>
  <si>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</si>
  <si>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</si>
  <si>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</si>
  <si>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</si>
  <si>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</si>
  <si>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</si>
  <si>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</si>
  <si>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</si>
  <si>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</si>
  <si>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</si>
  <si>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</si>
  <si>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</si>
  <si>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</si>
  <si>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</si>
  <si>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</si>
  <si>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</si>
  <si>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</si>
  <si>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</si>
  <si>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</si>
  <si>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</si>
  <si>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</si>
  <si>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</si>
  <si>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</si>
  <si>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</si>
  <si>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</si>
  <si>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</si>
  <si>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</si>
  <si>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</si>
  <si>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</si>
  <si>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</si>
  <si>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</si>
  <si>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</si>
  <si>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</si>
  <si>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</si>
  <si>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</si>
  <si>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</si>
  <si>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</si>
  <si>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</si>
  <si>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</si>
  <si>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</si>
  <si>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</si>
  <si>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</si>
  <si>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</si>
  <si>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</si>
  <si>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</si>
  <si>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</si>
  <si>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</si>
  <si>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</si>
  <si>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</si>
  <si>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</si>
  <si>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</si>
  <si>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</si>
  <si>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</si>
  <si>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</si>
  <si>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</si>
  <si>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</si>
  <si>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</si>
  <si>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</si>
  <si>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</si>
  <si>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</si>
  <si>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</si>
  <si>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</si>
  <si>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</si>
  <si>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</si>
  <si>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</si>
  <si>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</si>
  <si>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</si>
  <si>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</si>
  <si>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</si>
  <si>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</si>
  <si>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</si>
  <si>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</si>
  <si>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</si>
  <si>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</si>
  <si>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</si>
  <si>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</si>
  <si>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</si>
  <si>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</si>
  <si>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</si>
  <si>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</si>
  <si>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</si>
  <si>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</si>
  <si>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</si>
  <si>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</si>
  <si>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</si>
  <si>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</si>
  <si>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</si>
  <si>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</si>
  <si>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</si>
  <si>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</si>
  <si>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</si>
  <si>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</si>
  <si>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</si>
  <si>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</si>
  <si>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</si>
  <si>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</si>
  <si>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</si>
  <si>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</si>
  <si>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</si>
  <si>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</si>
  <si>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</si>
  <si>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</si>
  <si>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</si>
  <si>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</si>
  <si>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</si>
  <si>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</si>
  <si>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</si>
  <si>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</si>
  <si>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</si>
  <si>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</si>
  <si>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</si>
  <si>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</si>
  <si>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</si>
  <si>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</si>
  <si>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</si>
  <si>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</si>
  <si>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</si>
  <si>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</si>
  <si>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</si>
  <si>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</si>
  <si>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</si>
  <si>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</si>
  <si>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</si>
  <si>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</si>
  <si>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</si>
  <si>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</si>
  <si>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</si>
  <si>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</si>
  <si>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</si>
  <si>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</si>
  <si>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</si>
  <si>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</si>
  <si>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</si>
  <si>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</si>
  <si>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</si>
  <si>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</si>
  <si>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</si>
  <si>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</si>
  <si>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</si>
  <si>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</si>
  <si>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</si>
  <si>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</si>
  <si>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</si>
  <si>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</si>
  <si>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</si>
  <si>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</si>
  <si>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</si>
  <si>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</si>
  <si>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</si>
  <si>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</si>
  <si>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</si>
  <si>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</si>
  <si>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</si>
  <si>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</si>
  <si>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</si>
  <si>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</si>
  <si>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</si>
  <si>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</si>
  <si>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</si>
  <si>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</si>
  <si>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</si>
  <si>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</si>
  <si>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</si>
  <si>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</si>
  <si>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</si>
  <si>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</si>
  <si>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</si>
  <si>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</si>
  <si>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</si>
  <si>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</si>
  <si>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</si>
  <si>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</si>
  <si>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</si>
  <si>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</si>
  <si>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</si>
  <si>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</si>
  <si>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</si>
  <si>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</si>
  <si>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</si>
  <si>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</si>
  <si>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</si>
  <si>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</si>
  <si>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</si>
  <si>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</si>
  <si>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</si>
  <si>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</si>
  <si>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</si>
  <si>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</si>
  <si>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</si>
  <si>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</si>
  <si>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</si>
  <si>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</si>
  <si>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</si>
  <si>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</si>
  <si>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</si>
  <si>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</si>
  <si>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</si>
  <si>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</si>
  <si>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</si>
  <si>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</si>
  <si>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</si>
  <si>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</si>
  <si>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</si>
  <si>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</si>
  <si>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</si>
  <si>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</si>
  <si>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</si>
  <si>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</si>
  <si>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</si>
  <si>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</si>
  <si>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</si>
  <si>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</si>
  <si>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</si>
  <si>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</si>
  <si>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</si>
  <si>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</si>
  <si>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</si>
  <si>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</si>
  <si>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</si>
  <si>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</si>
  <si>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</si>
  <si>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</si>
  <si>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</si>
  <si>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</si>
  <si>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</si>
  <si>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</si>
  <si>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</si>
  <si>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</si>
  <si>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</si>
  <si>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</si>
  <si>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</si>
  <si>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</si>
  <si>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</si>
  <si>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</si>
  <si>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</si>
  <si>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</si>
  <si>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</si>
  <si>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</si>
  <si>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</si>
  <si>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</si>
  <si>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</si>
  <si>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</si>
  <si>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</si>
  <si>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</si>
  <si>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</si>
  <si>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</si>
  <si>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</si>
  <si>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</si>
  <si>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</si>
  <si>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</si>
  <si>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</si>
  <si>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</si>
  <si>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</si>
  <si>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</si>
  <si>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</si>
  <si>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</si>
  <si>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</si>
  <si>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</si>
  <si>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</si>
  <si>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</si>
  <si>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</si>
  <si>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</si>
  <si>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</si>
  <si>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</si>
  <si>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</si>
  <si>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</si>
  <si>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</si>
  <si>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</si>
  <si>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</si>
  <si>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</si>
  <si>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</si>
  <si>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</si>
  <si>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</si>
  <si>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</si>
  <si>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</si>
  <si>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</si>
  <si>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</si>
  <si>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</si>
  <si>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</si>
  <si>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</si>
  <si>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</si>
  <si>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</si>
  <si>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</si>
  <si>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</si>
  <si>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</si>
  <si>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</si>
  <si>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</si>
  <si>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</si>
  <si>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</si>
  <si>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</si>
  <si>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</si>
  <si>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</si>
  <si>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</si>
  <si>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</si>
  <si>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</si>
  <si>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</si>
  <si>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</si>
  <si>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</si>
  <si>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</si>
  <si>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</si>
  <si>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</si>
  <si>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</si>
  <si>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</si>
  <si>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</si>
  <si>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</si>
  <si>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</si>
  <si>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</si>
  <si>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</si>
  <si>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</si>
  <si>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</si>
  <si>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</si>
  <si>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</si>
  <si>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</si>
  <si>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</si>
  <si>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</si>
  <si>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</si>
  <si>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</si>
  <si>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</si>
  <si>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</si>
  <si>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</si>
  <si>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</si>
  <si>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</si>
  <si>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</si>
  <si>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</si>
  <si>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</si>
  <si>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</si>
  <si>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</si>
  <si>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</si>
  <si>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</si>
  <si>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</si>
  <si>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</si>
  <si>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</si>
  <si>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</si>
  <si>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</si>
  <si>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</si>
  <si>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</si>
  <si>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</si>
  <si>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</si>
  <si>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</si>
  <si>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</si>
  <si>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</si>
  <si>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</si>
  <si>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</si>
  <si>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</si>
  <si>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</si>
  <si>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</si>
  <si>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</si>
  <si>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</si>
  <si>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</si>
  <si>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</si>
  <si>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</si>
  <si>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</si>
  <si>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</si>
  <si>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</si>
  <si>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</si>
  <si>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</si>
  <si>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</si>
  <si>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</si>
  <si>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</si>
  <si>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</si>
  <si>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</si>
  <si>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</si>
  <si>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</si>
  <si>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</si>
  <si>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</si>
  <si>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</si>
  <si>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</si>
  <si>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</si>
  <si>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</si>
  <si>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</si>
  <si>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</si>
  <si>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</si>
  <si>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</si>
  <si>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</si>
  <si>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</si>
  <si>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</si>
  <si>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</si>
  <si>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</si>
  <si>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</si>
  <si>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</si>
  <si>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</si>
  <si>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</si>
  <si>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</si>
  <si>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</si>
  <si>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</si>
  <si>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</si>
  <si>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</si>
  <si>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</si>
  <si>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</si>
  <si>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</si>
  <si>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</si>
  <si>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</si>
  <si>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</si>
  <si>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</si>
  <si>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</si>
  <si>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</si>
  <si>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</si>
  <si>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</si>
  <si>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</si>
  <si>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</si>
  <si>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</si>
  <si>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</si>
  <si>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</si>
  <si>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</si>
  <si>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</si>
  <si>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</si>
  <si>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</si>
  <si>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</si>
  <si>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</si>
  <si>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</si>
  <si>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</si>
  <si>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</si>
  <si>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</si>
  <si>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</si>
  <si>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</si>
  <si>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</si>
  <si>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</si>
  <si>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</si>
  <si>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</si>
  <si>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</si>
  <si>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</si>
  <si>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</si>
  <si>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</si>
  <si>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</si>
  <si>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</si>
  <si>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</si>
  <si>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</si>
  <si>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</si>
  <si>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</si>
  <si>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</si>
  <si>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</si>
  <si>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</si>
  <si>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</si>
  <si>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</si>
  <si>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</si>
  <si>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</si>
  <si>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</si>
  <si>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</si>
  <si>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</si>
  <si>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</si>
  <si>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</si>
  <si>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</si>
  <si>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</si>
  <si>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</si>
  <si>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</si>
  <si>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</si>
  <si>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</si>
  <si>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</si>
  <si>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</si>
  <si>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</si>
  <si>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</si>
  <si>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</si>
  <si>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</si>
  <si>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</si>
  <si>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</si>
  <si>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</si>
  <si>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</si>
  <si>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</si>
  <si>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</si>
  <si>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</si>
  <si>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</si>
  <si>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</si>
  <si>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</si>
  <si>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</si>
  <si>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</si>
  <si>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</si>
  <si>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</si>
  <si>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</si>
  <si>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</si>
  <si>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</si>
  <si>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</si>
  <si>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</si>
  <si>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</si>
  <si>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</si>
  <si>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</si>
  <si>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</si>
  <si>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</si>
  <si>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</si>
  <si>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</si>
  <si>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</si>
  <si>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</si>
  <si>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</si>
  <si>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</si>
  <si>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</si>
  <si>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</si>
  <si>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</si>
  <si>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</si>
  <si>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</si>
  <si>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</si>
  <si>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</si>
  <si>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</si>
  <si>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</si>
  <si>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</si>
  <si>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</si>
  <si>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</si>
  <si>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</si>
  <si>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</si>
  <si>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</si>
  <si>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</si>
  <si>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</si>
  <si>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</si>
  <si>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</si>
  <si>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</si>
  <si>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</si>
  <si>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</si>
  <si>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</si>
  <si>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</si>
  <si>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</si>
  <si>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</si>
  <si>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</si>
  <si>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</si>
  <si>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</si>
  <si>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</si>
  <si>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</si>
  <si>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</si>
  <si>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</si>
  <si>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</si>
  <si>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</si>
  <si>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</si>
  <si>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</si>
  <si>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</si>
  <si>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</si>
  <si>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</si>
  <si>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</si>
  <si>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</si>
  <si>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</si>
  <si>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</si>
  <si>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</si>
  <si>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</si>
  <si>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</si>
  <si>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</si>
  <si>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</si>
  <si>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</si>
  <si>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</si>
  <si>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</si>
  <si>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</si>
  <si>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</si>
  <si>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</si>
  <si>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</si>
  <si>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</si>
  <si>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</si>
  <si>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</si>
  <si>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</si>
  <si>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</si>
  <si>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</si>
  <si>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</si>
  <si>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</si>
  <si>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</si>
  <si>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</si>
  <si>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</si>
  <si>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</si>
  <si>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</si>
  <si>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</si>
  <si>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</si>
  <si>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</si>
  <si>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</si>
  <si>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</si>
  <si>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</si>
  <si>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</si>
  <si>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</si>
  <si>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</si>
  <si>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</si>
  <si>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</si>
  <si>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</si>
  <si>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</si>
  <si>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</si>
  <si>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</si>
  <si>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</si>
  <si>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</si>
  <si>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</si>
  <si>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</si>
  <si>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</si>
  <si>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</si>
  <si>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</si>
  <si>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</si>
  <si>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</si>
  <si>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</si>
  <si>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</si>
  <si>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</si>
  <si>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</si>
  <si>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</si>
  <si>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</si>
  <si>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</si>
  <si>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</si>
  <si>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</si>
  <si>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</si>
  <si>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</si>
  <si>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</si>
  <si>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</si>
  <si>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</si>
  <si>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</si>
  <si>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</si>
  <si>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</si>
  <si>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</si>
  <si>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</si>
  <si>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</si>
  <si>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</si>
  <si>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</si>
  <si>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</si>
  <si>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</si>
  <si>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</si>
  <si>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</si>
  <si>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</si>
  <si>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</si>
  <si>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</si>
  <si>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</si>
  <si>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</si>
  <si>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</si>
  <si>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</si>
  <si>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</si>
  <si>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</si>
  <si>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</si>
  <si>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</si>
  <si>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</si>
  <si>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</si>
  <si>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</si>
  <si>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</si>
  <si>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</si>
  <si>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</si>
  <si>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</si>
  <si>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</si>
  <si>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</si>
  <si>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</si>
  <si>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</si>
  <si>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</si>
  <si>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</si>
  <si>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</si>
  <si>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</si>
  <si>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</si>
  <si>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</si>
  <si>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</si>
  <si>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</si>
  <si>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</si>
  <si>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</si>
  <si>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</si>
  <si>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</si>
  <si>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</si>
  <si>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</si>
  <si>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</si>
  <si>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</si>
  <si>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</si>
  <si>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</si>
  <si>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</si>
  <si>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</si>
  <si>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</si>
  <si>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</si>
  <si>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</si>
  <si>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</si>
  <si>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</si>
  <si>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</si>
  <si>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</si>
  <si>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</si>
  <si>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</si>
  <si>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</si>
  <si>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</si>
  <si>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</si>
  <si>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</si>
  <si>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</si>
  <si>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</si>
  <si>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</si>
  <si>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</si>
  <si>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</si>
  <si>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</si>
  <si>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</si>
  <si>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</si>
  <si>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</si>
  <si>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</si>
  <si>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</si>
  <si>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</si>
  <si>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</si>
  <si>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</si>
  <si>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</si>
  <si>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</si>
  <si>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</si>
  <si>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</si>
  <si>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</si>
  <si>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</si>
  <si>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</si>
  <si>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</si>
  <si>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</si>
  <si>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</si>
  <si>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</si>
  <si>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</si>
  <si>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</si>
  <si>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</si>
  <si>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</si>
  <si>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</si>
  <si>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</si>
  <si>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</si>
  <si>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</si>
  <si>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</si>
  <si>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</si>
  <si>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</si>
  <si>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</si>
  <si>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</si>
  <si>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</si>
  <si>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</si>
  <si>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</si>
  <si>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</si>
  <si>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</si>
  <si>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</si>
  <si>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</si>
  <si>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</si>
  <si>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</si>
  <si>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</si>
  <si>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</si>
  <si>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</si>
  <si>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</si>
  <si>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</si>
  <si>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</si>
  <si>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</si>
  <si>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</si>
  <si>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</si>
  <si>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</si>
  <si>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</si>
  <si>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</si>
  <si>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</si>
  <si>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</si>
  <si>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</si>
  <si>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</si>
  <si>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</si>
  <si>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</si>
  <si>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</si>
  <si>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</si>
  <si>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</si>
  <si>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</si>
  <si>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</si>
  <si>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</si>
  <si>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</si>
  <si>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</si>
  <si>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</si>
  <si>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</si>
  <si>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</si>
  <si>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</si>
  <si>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</si>
  <si>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</si>
  <si>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</si>
  <si>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</si>
  <si>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</si>
  <si>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</si>
  <si>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</si>
  <si>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</si>
  <si>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</si>
  <si>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</si>
  <si>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</si>
  <si>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</si>
  <si>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</si>
  <si>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</si>
  <si>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</si>
  <si>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</si>
  <si>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</si>
  <si>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</si>
  <si>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</si>
  <si>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</si>
  <si>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</si>
  <si>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</si>
  <si>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</si>
  <si>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</si>
  <si>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</si>
  <si>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</si>
  <si>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</si>
  <si>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</si>
  <si>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</si>
  <si>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</si>
  <si>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</si>
  <si>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</si>
  <si>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</si>
  <si>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</si>
  <si>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</si>
  <si>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</si>
  <si>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</si>
  <si>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</si>
  <si>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</si>
  <si>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</si>
  <si>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</si>
  <si>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</si>
  <si>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</si>
  <si>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</si>
  <si>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</si>
  <si>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</si>
  <si>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</si>
  <si>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</si>
  <si>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</si>
  <si>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</si>
  <si>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</si>
  <si>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</si>
  <si>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</si>
  <si>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</si>
  <si>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</si>
  <si>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</si>
  <si>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</si>
  <si>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</si>
  <si>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</si>
  <si>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</si>
  <si>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</si>
  <si>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</si>
  <si>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</si>
  <si>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</si>
  <si>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</si>
  <si>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</si>
  <si>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</si>
  <si>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</si>
  <si>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</si>
  <si>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</si>
  <si>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</si>
  <si>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</si>
  <si>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</si>
  <si>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</si>
  <si>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</si>
  <si>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</si>
  <si>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</si>
  <si>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</si>
  <si>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</si>
  <si>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</si>
  <si>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</si>
  <si>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</si>
  <si>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</si>
  <si>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</si>
  <si>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</si>
  <si>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</si>
  <si>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</si>
  <si>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</si>
  <si>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</si>
  <si>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</si>
  <si>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</si>
  <si>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</si>
  <si>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</si>
  <si>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</si>
  <si>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</si>
  <si>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</si>
  <si>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</si>
  <si>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</si>
  <si>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</si>
  <si>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</si>
  <si>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</si>
  <si>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</si>
  <si>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</si>
  <si>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</si>
  <si>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</si>
  <si>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</si>
  <si>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</si>
  <si>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</si>
  <si>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</si>
  <si>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</si>
  <si>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</si>
  <si>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</si>
  <si>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</si>
  <si>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</si>
  <si>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</si>
  <si>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</si>
  <si>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</si>
  <si>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</si>
  <si>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</si>
  <si>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</si>
  <si>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</si>
  <si>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</si>
  <si>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</si>
  <si>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</si>
  <si>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</si>
  <si>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</si>
  <si>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</si>
  <si>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</si>
  <si>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</si>
  <si>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</si>
  <si>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</si>
  <si>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</si>
  <si>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</si>
  <si>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</si>
  <si>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</si>
  <si>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</si>
  <si>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</si>
  <si>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</si>
  <si>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</si>
  <si>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</si>
  <si>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</si>
  <si>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</si>
  <si>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</si>
  <si>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</si>
  <si>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</si>
  <si>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</si>
  <si>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</si>
  <si>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</si>
  <si>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</si>
  <si>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</si>
  <si>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</si>
  <si>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</si>
  <si>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</si>
  <si>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</si>
  <si>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</si>
  <si>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</si>
  <si>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</si>
  <si>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</si>
  <si>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</si>
  <si>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</si>
  <si>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</si>
  <si>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</si>
  <si>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</si>
  <si>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</si>
  <si>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</si>
  <si>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</si>
  <si>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</si>
  <si>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</si>
  <si>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</si>
  <si>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</si>
  <si>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</si>
  <si>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</si>
  <si>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</si>
  <si>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</si>
  <si>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</si>
  <si>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</si>
  <si>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</si>
  <si>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</si>
  <si>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</si>
  <si>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</si>
  <si>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</si>
  <si>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</si>
  <si>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</si>
  <si>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</si>
  <si>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</si>
  <si>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</si>
  <si>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</si>
  <si>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</si>
  <si>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</si>
  <si>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</si>
  <si>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</si>
  <si>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</si>
  <si>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</si>
  <si>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</si>
  <si>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</si>
  <si>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</si>
  <si>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</si>
  <si>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</si>
  <si>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</si>
  <si>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</si>
  <si>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</si>
  <si>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</si>
  <si>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</si>
  <si>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</si>
  <si>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</si>
  <si>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</si>
  <si>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</si>
  <si>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</si>
  <si>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</si>
  <si>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</si>
  <si>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</si>
  <si>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</si>
  <si>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</si>
  <si>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</si>
  <si>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</si>
  <si>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</si>
  <si>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</si>
  <si>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</si>
  <si>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</si>
  <si>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</si>
  <si>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</si>
  <si>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</si>
  <si>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</si>
  <si>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</si>
  <si>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</si>
  <si>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</si>
  <si>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</si>
  <si>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</si>
  <si>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</si>
  <si>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</si>
  <si>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</si>
  <si>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</si>
  <si>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</si>
  <si>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</si>
  <si>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</si>
  <si>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</si>
  <si>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</si>
  <si>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</si>
  <si>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</si>
  <si>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</si>
  <si>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</si>
  <si>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</si>
  <si>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</si>
  <si>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</si>
  <si>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</si>
  <si>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</si>
  <si>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</si>
  <si>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</si>
  <si>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</si>
  <si>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</si>
  <si>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</si>
  <si>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</si>
  <si>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</si>
  <si>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</si>
  <si>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</si>
  <si>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</si>
  <si>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</si>
  <si>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</si>
  <si>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</si>
  <si>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</si>
  <si>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</si>
  <si>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</si>
  <si>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</si>
  <si>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</si>
  <si>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</si>
  <si>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</si>
  <si>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</si>
  <si>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</si>
  <si>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</si>
  <si>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</si>
  <si>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</si>
  <si>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</si>
  <si>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</si>
  <si>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</si>
  <si>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</si>
  <si>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</si>
  <si>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</si>
  <si>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</si>
  <si>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</si>
  <si>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</si>
  <si>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</si>
  <si>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</si>
  <si>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</si>
  <si>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</si>
  <si>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</si>
  <si>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</si>
  <si>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</si>
  <si>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</si>
  <si>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</si>
  <si>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</si>
  <si>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</si>
  <si>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</si>
  <si>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</si>
  <si>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</si>
  <si>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</si>
  <si>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</si>
  <si>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</si>
  <si>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</si>
  <si>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</si>
  <si>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</si>
  <si>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</si>
  <si>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</si>
  <si>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</si>
  <si>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</si>
  <si>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</si>
  <si>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</si>
  <si>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</si>
  <si>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</si>
  <si>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</si>
  <si>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</si>
  <si>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</si>
  <si>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</si>
  <si>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</si>
  <si>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</si>
  <si>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</si>
  <si>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</si>
  <si>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</si>
  <si>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</si>
  <si>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</si>
  <si>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</si>
  <si>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</si>
  <si>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</si>
  <si>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</si>
  <si>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</si>
  <si>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</si>
  <si>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</si>
  <si>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</si>
  <si>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</si>
  <si>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</si>
  <si>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</si>
  <si>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</si>
  <si>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</si>
  <si>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</si>
  <si>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</si>
  <si>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</si>
  <si>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</si>
  <si>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</si>
  <si>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</si>
  <si>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</si>
  <si>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</si>
  <si>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</si>
  <si>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</si>
  <si>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</si>
  <si>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</si>
  <si>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</si>
  <si>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</si>
  <si>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</si>
  <si>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</si>
  <si>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</si>
  <si>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</si>
  <si>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</si>
  <si>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</si>
  <si>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</si>
  <si>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</si>
  <si>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</si>
  <si>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</si>
  <si>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</si>
  <si>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</si>
  <si>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</si>
  <si>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</si>
  <si>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</si>
  <si>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</si>
  <si>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</si>
  <si>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</si>
  <si>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</si>
  <si>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</si>
  <si>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</si>
  <si>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</si>
  <si>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</si>
  <si>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</si>
  <si>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</si>
  <si>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</si>
  <si>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</si>
  <si>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</si>
  <si>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</si>
  <si>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</si>
  <si>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</si>
  <si>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</si>
  <si>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</si>
  <si>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</si>
  <si>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</si>
  <si>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</si>
  <si>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</si>
  <si>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</si>
  <si>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</si>
  <si>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</si>
  <si>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</si>
  <si>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</si>
  <si>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</si>
  <si>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</si>
  <si>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</si>
  <si>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</si>
  <si>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</si>
  <si>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</si>
  <si>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</si>
  <si>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</si>
  <si>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</si>
  <si>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</si>
  <si>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</si>
  <si>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</si>
  <si>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</si>
  <si>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</si>
  <si>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</si>
  <si>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</si>
  <si>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</si>
  <si>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</si>
  <si>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</si>
  <si>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</si>
  <si>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</si>
  <si>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</si>
  <si>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</si>
  <si>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</si>
  <si>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</si>
  <si>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</si>
  <si>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</si>
  <si>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</si>
  <si>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</si>
  <si>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</si>
  <si>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</si>
  <si>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</si>
  <si>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</si>
  <si>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</si>
  <si>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</si>
  <si>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</si>
  <si>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</si>
  <si>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</si>
  <si>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</si>
  <si>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</si>
  <si>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</si>
  <si>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</si>
  <si>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</si>
  <si>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</si>
  <si>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</si>
  <si>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</si>
  <si>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</si>
  <si>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</si>
  <si>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</si>
  <si>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</si>
  <si>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</si>
  <si>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</si>
  <si>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</si>
  <si>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</si>
  <si>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</si>
  <si>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</si>
  <si>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</si>
  <si>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</si>
  <si>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</si>
  <si>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</si>
  <si>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</si>
  <si>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</si>
  <si>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</si>
  <si>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</si>
  <si>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</si>
  <si>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</si>
  <si>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</si>
  <si>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</si>
  <si>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</si>
  <si>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</si>
  <si>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</si>
  <si>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</si>
  <si>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</si>
  <si>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</si>
  <si>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</si>
  <si>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</si>
  <si>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</si>
  <si>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</si>
  <si>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</si>
  <si>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</si>
  <si>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</si>
  <si>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</si>
  <si>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</si>
  <si>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</si>
  <si>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</si>
  <si>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</si>
  <si>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</si>
  <si>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</si>
  <si>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</si>
  <si>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</si>
  <si>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</si>
  <si>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</si>
  <si>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</si>
  <si>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</si>
  <si>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</si>
  <si>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</si>
  <si>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</si>
  <si>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</si>
  <si>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</si>
  <si>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</si>
  <si>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</si>
  <si>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</si>
  <si>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</si>
  <si>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</si>
  <si>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</si>
  <si>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</si>
  <si>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</si>
  <si>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</si>
  <si>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</si>
  <si>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</si>
  <si>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</si>
  <si>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</si>
  <si>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</si>
  <si>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</si>
  <si>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</si>
  <si>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</si>
  <si>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</si>
  <si>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</si>
  <si>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</si>
  <si>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</si>
  <si>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</si>
  <si>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</si>
  <si>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</si>
  <si>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</si>
  <si>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</si>
  <si>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</si>
  <si>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</si>
  <si>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</si>
  <si>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</si>
  <si>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</si>
  <si>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</si>
  <si>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</si>
  <si>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</si>
  <si>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</si>
  <si>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</si>
  <si>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</si>
  <si>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</si>
  <si>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</si>
  <si>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</si>
  <si>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</si>
  <si>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</si>
  <si>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</si>
  <si>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</si>
  <si>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</si>
  <si>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</si>
  <si>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</si>
  <si>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</si>
  <si>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</si>
  <si>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</si>
  <si>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</si>
  <si>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</si>
  <si>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</si>
  <si>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</si>
  <si>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</si>
  <si>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</si>
  <si>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</si>
  <si>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</si>
  <si>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</si>
  <si>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</si>
  <si>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</si>
  <si>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</si>
  <si>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</si>
  <si>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</si>
  <si>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</si>
  <si>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</si>
  <si>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</si>
  <si>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</si>
  <si>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</si>
  <si>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</si>
  <si>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</si>
  <si>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</si>
  <si>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</si>
  <si>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</si>
  <si>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</si>
  <si>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</si>
  <si>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</si>
  <si>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</si>
  <si>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</si>
  <si>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</si>
  <si>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</si>
  <si>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</si>
  <si>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</si>
  <si>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</si>
  <si>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</si>
  <si>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</si>
  <si>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</si>
  <si>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</si>
  <si>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</si>
  <si>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</si>
  <si>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</si>
  <si>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</si>
  <si>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</si>
  <si>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</si>
  <si>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</si>
  <si>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</si>
  <si>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</si>
  <si>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</si>
  <si>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</si>
  <si>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</si>
  <si>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</si>
  <si>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</si>
  <si>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</si>
  <si>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</si>
  <si>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</si>
  <si>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</si>
  <si>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</si>
  <si>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</si>
  <si>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</si>
  <si>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</si>
  <si>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</si>
  <si>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</si>
  <si>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</si>
  <si>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</si>
  <si>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</si>
  <si>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</si>
  <si>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</si>
  <si>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</si>
  <si>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</si>
  <si>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</si>
  <si>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</si>
  <si>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</si>
  <si>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</si>
  <si>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</si>
  <si>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</si>
  <si>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</si>
  <si>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</si>
  <si>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</si>
  <si>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</si>
  <si>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</si>
  <si>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</si>
  <si>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</si>
  <si>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</si>
  <si>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</si>
  <si>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</si>
  <si>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</si>
  <si>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</si>
  <si>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</si>
  <si>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</si>
  <si>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</si>
  <si>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</si>
  <si>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</si>
  <si>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</si>
  <si>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</si>
  <si>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</si>
  <si>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</si>
  <si>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</si>
  <si>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</si>
  <si>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</si>
  <si>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</si>
  <si>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</si>
  <si>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</si>
  <si>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</si>
  <si>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</si>
  <si>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</si>
  <si>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</si>
  <si>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</si>
  <si>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</si>
  <si>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</si>
  <si>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</si>
  <si>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</si>
  <si>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</si>
  <si>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</si>
  <si>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</si>
  <si>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</si>
  <si>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</si>
  <si>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</si>
  <si>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</si>
  <si>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</si>
  <si>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</si>
  <si>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</si>
  <si>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</si>
  <si>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</si>
  <si>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</si>
  <si>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</si>
  <si>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</si>
  <si>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</si>
  <si>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</si>
  <si>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</si>
  <si>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</si>
  <si>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</si>
  <si>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</si>
  <si>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</si>
  <si>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</si>
  <si>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</si>
  <si>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</si>
  <si>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</si>
  <si>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</si>
  <si>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</si>
  <si>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</si>
  <si>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</si>
  <si>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</si>
  <si>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</si>
  <si>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</si>
  <si>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</si>
  <si>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</si>
  <si>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</si>
  <si>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</si>
  <si>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</si>
  <si>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</si>
  <si>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</si>
  <si>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</si>
  <si>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</si>
  <si>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</si>
  <si>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</si>
  <si>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</si>
  <si>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</si>
  <si>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</si>
  <si>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</si>
  <si>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</si>
  <si>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</si>
  <si>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</si>
  <si>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</si>
  <si>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</si>
  <si>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</si>
  <si>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</si>
  <si>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</si>
  <si>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</si>
  <si>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</si>
  <si>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</si>
  <si>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</si>
  <si>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</si>
  <si>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</si>
  <si>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</si>
  <si>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</si>
  <si>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</si>
  <si>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</si>
  <si>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</si>
  <si>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</si>
  <si>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</si>
  <si>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</si>
  <si>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</si>
  <si>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</si>
  <si>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</si>
  <si>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</si>
  <si>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</si>
  <si>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</si>
  <si>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</si>
  <si>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</si>
  <si>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</si>
  <si>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</si>
  <si>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</si>
  <si>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</si>
  <si>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</si>
  <si>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</si>
  <si>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</si>
  <si>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</si>
  <si>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</si>
  <si>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</si>
  <si>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</si>
  <si>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</si>
  <si>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</si>
  <si>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</si>
  <si>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</si>
  <si>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</si>
  <si>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</si>
  <si>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</si>
  <si>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</si>
  <si>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</si>
  <si>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</si>
  <si>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</si>
  <si>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</si>
  <si>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</si>
  <si>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</si>
  <si>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</si>
  <si>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</si>
  <si>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</si>
  <si>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</si>
  <si>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</si>
  <si>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</si>
  <si>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</si>
  <si>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</si>
  <si>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</si>
  <si>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</si>
  <si>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</si>
  <si>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</si>
  <si>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</si>
  <si>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</si>
  <si>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</si>
  <si>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</si>
  <si>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</si>
  <si>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</si>
  <si>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</si>
  <si>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</si>
  <si>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</si>
  <si>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</si>
  <si>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</si>
  <si>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</si>
  <si>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</si>
  <si>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</si>
  <si>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</si>
  <si>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</si>
  <si>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</si>
  <si>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</si>
  <si>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</si>
  <si>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</si>
  <si>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</si>
  <si>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</si>
  <si>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</si>
  <si>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</si>
  <si>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</si>
  <si>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</si>
  <si>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</si>
  <si>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</si>
  <si>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</si>
  <si>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</si>
  <si>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</si>
  <si>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</si>
  <si>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</si>
  <si>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</si>
  <si>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</si>
  <si>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</si>
  <si>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</si>
  <si>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</si>
  <si>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</si>
  <si>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</si>
  <si>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</si>
  <si>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</si>
  <si>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</si>
  <si>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</si>
  <si>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</si>
  <si>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</si>
  <si>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</si>
  <si>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</si>
  <si>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</si>
  <si>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</si>
  <si>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</si>
  <si>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</si>
  <si>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</si>
  <si>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</si>
  <si>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</si>
  <si>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</si>
  <si>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</si>
  <si>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</si>
  <si>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</si>
  <si>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</si>
  <si>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</si>
  <si>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</si>
  <si>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</si>
  <si>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</si>
  <si>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</si>
  <si>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</si>
  <si>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</si>
  <si>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</si>
  <si>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</si>
  <si>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</si>
  <si>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</si>
  <si>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</si>
  <si>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</si>
  <si>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</si>
  <si>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</si>
  <si>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</si>
  <si>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</si>
  <si>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</si>
  <si>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</si>
  <si>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</si>
  <si>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</si>
  <si>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</si>
  <si>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</si>
  <si>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</si>
  <si>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</si>
  <si>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</si>
  <si>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</si>
  <si>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</si>
  <si>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</si>
  <si>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</si>
  <si>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</si>
  <si>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</si>
  <si>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</si>
  <si>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</si>
  <si>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</si>
  <si>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</si>
  <si>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</si>
  <si>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</si>
  <si>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</si>
  <si>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</si>
  <si>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</si>
  <si>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</si>
  <si>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</si>
  <si>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</si>
  <si>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</si>
  <si>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</si>
  <si>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</si>
  <si>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</si>
  <si>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</si>
  <si>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</si>
  <si>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</si>
  <si>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</si>
  <si>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</si>
  <si>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</si>
  <si>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</si>
  <si>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</si>
  <si>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</si>
  <si>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</si>
  <si>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</si>
  <si>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</si>
  <si>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</si>
  <si>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</si>
  <si>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</si>
  <si>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</si>
  <si>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</si>
  <si>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</si>
  <si>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</si>
  <si>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</si>
  <si>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</si>
  <si>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</si>
  <si>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</si>
  <si>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</si>
  <si>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</si>
  <si>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</si>
  <si>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</si>
  <si>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</si>
  <si>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</si>
  <si>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</si>
  <si>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</si>
  <si>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</si>
  <si>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</si>
  <si>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</si>
  <si>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</si>
  <si>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</si>
  <si>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</si>
  <si>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</si>
  <si>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</si>
  <si>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</si>
  <si>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</si>
  <si>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</si>
  <si>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</si>
  <si>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</si>
  <si>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</si>
  <si>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</si>
  <si>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</si>
  <si>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</si>
  <si>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</si>
  <si>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</si>
  <si>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</si>
  <si>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</si>
  <si>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</si>
  <si>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</si>
  <si>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</si>
  <si>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</si>
  <si>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</si>
  <si>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</si>
  <si>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</si>
  <si>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</si>
  <si>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</si>
  <si>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</si>
  <si>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</si>
  <si>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</si>
  <si>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</si>
  <si>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</si>
  <si>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</si>
  <si>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</si>
  <si>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</si>
  <si>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</si>
  <si>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</si>
  <si>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</si>
  <si>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</si>
  <si>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</si>
  <si>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</si>
  <si>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</si>
  <si>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</si>
  <si>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</si>
  <si>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</si>
  <si>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</si>
  <si>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</si>
  <si>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</si>
  <si>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</si>
  <si>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</si>
  <si>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</si>
  <si>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</si>
  <si>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</si>
  <si>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</si>
  <si>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</si>
  <si>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</si>
  <si>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</si>
  <si>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</si>
  <si>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</si>
  <si>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</si>
  <si>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</si>
  <si>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</si>
  <si>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</si>
  <si>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</si>
  <si>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</si>
  <si>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</si>
  <si>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</si>
  <si>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</si>
  <si>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</si>
  <si>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</si>
  <si>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</si>
  <si>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</si>
  <si>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</si>
  <si>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</si>
  <si>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</si>
  <si>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</si>
  <si>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</si>
  <si>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</si>
  <si>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</si>
  <si>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</si>
  <si>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</si>
  <si>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</si>
  <si>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</si>
  <si>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</si>
  <si>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</si>
  <si>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</si>
  <si>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</si>
  <si>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</si>
  <si>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</si>
  <si>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</si>
  <si>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</si>
  <si>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</si>
  <si>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</si>
  <si>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</si>
  <si>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</si>
  <si>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</si>
  <si>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</si>
  <si>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</si>
  <si>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</si>
  <si>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</si>
  <si>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</si>
  <si>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</si>
  <si>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</si>
  <si>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</si>
  <si>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</si>
  <si>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</si>
  <si>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</si>
  <si>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</si>
  <si>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</si>
  <si>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</si>
  <si>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</si>
  <si>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</si>
  <si>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</si>
  <si>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</si>
  <si>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</si>
  <si>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</si>
  <si>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</si>
  <si>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</si>
  <si>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</si>
  <si>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</si>
  <si>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</si>
  <si>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</si>
  <si>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</si>
  <si>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</si>
  <si>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</si>
  <si>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</si>
  <si>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</si>
  <si>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</si>
  <si>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</si>
  <si>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</si>
  <si>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</si>
  <si>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</si>
  <si>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</si>
  <si>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</si>
  <si>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</si>
  <si>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</si>
  <si>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</si>
  <si>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</si>
  <si>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</si>
  <si>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</si>
  <si>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</si>
  <si>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</si>
  <si>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</si>
  <si>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</si>
  <si>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</si>
  <si>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</si>
  <si>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</si>
  <si>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</si>
  <si>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</si>
  <si>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</si>
  <si>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</si>
  <si>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</si>
  <si>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</si>
  <si>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</si>
  <si>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</si>
  <si>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</si>
  <si>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</si>
  <si>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</si>
  <si>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</si>
  <si>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</si>
  <si>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</si>
  <si>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</si>
  <si>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</si>
  <si>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</si>
  <si>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</si>
  <si>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</si>
  <si>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</si>
  <si>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</si>
  <si>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</si>
  <si>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</si>
  <si>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</si>
  <si>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</si>
  <si>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</si>
  <si>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</si>
  <si>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</si>
  <si>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</si>
  <si>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</si>
  <si>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</si>
  <si>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</si>
  <si>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</si>
  <si>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</si>
  <si>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</si>
  <si>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</si>
  <si>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</si>
  <si>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</si>
  <si>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</si>
  <si>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</si>
  <si>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</si>
  <si>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</si>
  <si>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</si>
  <si>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</si>
  <si>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</si>
  <si>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</si>
  <si>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</si>
  <si>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</si>
  <si>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</si>
  <si>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</si>
  <si>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</si>
  <si>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</si>
  <si>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</si>
  <si>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</si>
  <si>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</si>
  <si>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</si>
  <si>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</si>
  <si>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</si>
  <si>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</si>
  <si>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</si>
  <si>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</si>
  <si>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</si>
  <si>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</si>
  <si>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</si>
  <si>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</si>
  <si>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</si>
  <si>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</si>
  <si>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</si>
  <si>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</si>
  <si>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</si>
  <si>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</si>
  <si>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</si>
  <si>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</si>
  <si>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</si>
  <si>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</si>
  <si>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</si>
  <si>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</si>
  <si>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</si>
  <si>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</si>
  <si>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</si>
  <si>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</si>
  <si>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</si>
  <si>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</si>
  <si>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</si>
  <si>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</si>
  <si>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</si>
  <si>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</si>
  <si>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</si>
  <si>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</si>
  <si>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</si>
  <si>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</si>
  <si>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</si>
  <si>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</si>
  <si>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</si>
  <si>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</si>
  <si>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</si>
  <si>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</si>
  <si>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</si>
  <si>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</si>
  <si>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</si>
  <si>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</si>
  <si>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</si>
  <si>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</si>
  <si>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</si>
  <si>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</si>
  <si>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</si>
  <si>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</si>
  <si>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</si>
  <si>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</si>
  <si>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</si>
  <si>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</si>
  <si>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</si>
  <si>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</si>
  <si>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</si>
  <si>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</si>
  <si>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</si>
  <si>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</si>
  <si>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</si>
  <si>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</si>
  <si>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</si>
  <si>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</si>
  <si>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</si>
  <si>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</si>
  <si>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</si>
  <si>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</si>
  <si>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</si>
  <si>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</si>
  <si>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</si>
  <si>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</si>
  <si>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</si>
  <si>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</si>
  <si>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</si>
  <si>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</si>
  <si>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</si>
  <si>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</si>
  <si>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</si>
  <si>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</si>
  <si>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</si>
  <si>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</si>
  <si>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</si>
  <si>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</si>
  <si>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</si>
  <si>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</si>
  <si>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</si>
  <si>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</si>
  <si>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</si>
  <si>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</si>
  <si>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</si>
  <si>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</si>
  <si>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</si>
  <si>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</si>
  <si>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</si>
  <si>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</si>
  <si>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</si>
  <si>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</si>
  <si>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</si>
  <si>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</si>
  <si>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</si>
  <si>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</si>
  <si>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</si>
  <si>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</si>
  <si>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</si>
  <si>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</si>
  <si>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</si>
  <si>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</si>
  <si>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</si>
  <si>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</si>
  <si>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</si>
  <si>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</si>
  <si>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</si>
  <si>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</si>
  <si>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</si>
  <si>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</si>
  <si>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</si>
  <si>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</si>
  <si>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</si>
  <si>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</si>
  <si>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</si>
  <si>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</si>
  <si>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</si>
  <si>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</si>
  <si>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</si>
  <si>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</si>
  <si>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</si>
  <si>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</si>
  <si>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</si>
  <si>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</si>
  <si>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</si>
  <si>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</si>
  <si>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</si>
  <si>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</si>
  <si>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</si>
  <si>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</si>
  <si>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</si>
  <si>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</si>
  <si>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</si>
  <si>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</si>
  <si>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</si>
  <si>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</si>
  <si>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</si>
  <si>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</si>
  <si>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</si>
  <si>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</si>
  <si>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</si>
  <si>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</si>
  <si>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</si>
  <si>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</si>
  <si>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</si>
  <si>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</si>
  <si>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</si>
  <si>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</si>
  <si>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</si>
  <si>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</si>
  <si>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</si>
  <si>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</si>
  <si>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</si>
  <si>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</si>
  <si>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</si>
  <si>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</si>
  <si>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</si>
  <si>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</si>
  <si>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</si>
  <si>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</si>
  <si>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</si>
  <si>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</si>
  <si>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</si>
  <si>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</si>
  <si>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</si>
  <si>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</si>
  <si>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</si>
  <si>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</si>
  <si>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</si>
  <si>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</si>
  <si>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</si>
  <si>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</si>
  <si>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</si>
  <si>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</si>
  <si>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</si>
  <si>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</si>
  <si>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</si>
  <si>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</si>
  <si>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</si>
  <si>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</si>
  <si>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</si>
  <si>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</si>
  <si>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</si>
  <si>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</si>
  <si>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</si>
  <si>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</si>
  <si>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</si>
  <si>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</si>
  <si>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</si>
  <si>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</si>
  <si>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</si>
  <si>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</si>
  <si>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</si>
  <si>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</si>
  <si>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</si>
  <si>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</si>
  <si>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</si>
  <si>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</si>
  <si>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</si>
  <si>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</si>
  <si>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</si>
  <si>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</si>
  <si>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</si>
  <si>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</si>
  <si>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</si>
  <si>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</si>
  <si>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</si>
  <si>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</si>
  <si>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</si>
  <si>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</si>
  <si>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</si>
  <si>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</si>
  <si>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</si>
  <si>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</si>
  <si>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</si>
  <si>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</si>
  <si>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</si>
  <si>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</si>
  <si>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</si>
  <si>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</si>
  <si>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</si>
  <si>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</si>
  <si>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</si>
  <si>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</si>
  <si>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</si>
  <si>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</si>
  <si>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</si>
  <si>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</si>
  <si>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</si>
  <si>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</si>
  <si>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</si>
  <si>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</si>
  <si>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</si>
  <si>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</si>
  <si>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</si>
  <si>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</si>
  <si>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</si>
  <si>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</si>
  <si>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</si>
  <si>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</si>
  <si>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</si>
  <si>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</si>
  <si>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</si>
  <si>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</si>
  <si>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</si>
  <si>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</si>
  <si>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</si>
  <si>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</si>
  <si>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</si>
  <si>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</si>
  <si>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</si>
  <si>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</si>
  <si>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</si>
  <si>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</si>
  <si>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</si>
  <si>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</si>
  <si>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</si>
  <si>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</si>
  <si>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</si>
  <si>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</si>
  <si>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</si>
  <si>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</si>
  <si>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</si>
  <si>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</si>
  <si>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</si>
  <si>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</si>
  <si>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</si>
  <si>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</si>
  <si>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</si>
  <si>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</si>
  <si>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</si>
  <si>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</si>
  <si>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</si>
  <si>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</si>
  <si>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</si>
  <si>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</si>
  <si>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</si>
  <si>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</si>
  <si>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</si>
  <si>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</si>
  <si>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</si>
  <si>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</si>
  <si>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</si>
  <si>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</si>
  <si>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</si>
  <si>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</si>
  <si>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</si>
  <si>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</si>
  <si>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</si>
  <si>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</si>
  <si>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</si>
  <si>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</si>
  <si>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</si>
  <si>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</si>
  <si>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</si>
  <si>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</si>
  <si>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</si>
  <si>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</si>
  <si>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</si>
  <si>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</si>
  <si>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</si>
  <si>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</si>
  <si>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</si>
  <si>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</si>
  <si>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</si>
  <si>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</si>
  <si>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</si>
  <si>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</si>
  <si>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</si>
  <si>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</si>
  <si>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</si>
  <si>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</si>
  <si>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</si>
  <si>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</si>
  <si>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</si>
  <si>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</si>
  <si>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</si>
  <si>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</si>
  <si>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</si>
  <si>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</si>
  <si>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</si>
  <si>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</si>
  <si>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</si>
  <si>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</si>
  <si>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</si>
  <si>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</si>
  <si>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</si>
  <si>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</si>
  <si>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</si>
  <si>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</si>
  <si>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</si>
  <si>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</si>
  <si>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</si>
  <si>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</si>
  <si>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</si>
  <si>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</si>
  <si>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</si>
  <si>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</si>
  <si>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</si>
  <si>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</si>
  <si>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</si>
  <si>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</si>
  <si>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</si>
  <si>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</si>
  <si>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</si>
  <si>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</si>
  <si>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</si>
  <si>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</si>
  <si>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</si>
  <si>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</si>
  <si>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</si>
  <si>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</si>
  <si>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</si>
  <si>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</si>
  <si>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</si>
  <si>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</si>
  <si>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</si>
  <si>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</si>
  <si>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</si>
  <si>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</si>
  <si>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</si>
  <si>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</si>
  <si>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</si>
  <si>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</si>
  <si>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</si>
  <si>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</si>
  <si>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</si>
  <si>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</si>
  <si>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</si>
  <si>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</si>
  <si>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</si>
  <si>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</si>
  <si>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</si>
  <si>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</si>
  <si>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</si>
  <si>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</si>
  <si>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</si>
  <si>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</si>
  <si>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</si>
  <si>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</si>
  <si>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</si>
  <si>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</si>
  <si>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</si>
  <si>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</si>
  <si>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</si>
  <si>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</si>
  <si>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</si>
  <si>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</si>
  <si>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</si>
  <si>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</si>
  <si>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</si>
  <si>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</si>
  <si>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</si>
  <si>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</si>
  <si>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</si>
  <si>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</si>
  <si>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</si>
  <si>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</si>
  <si>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</si>
  <si>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</si>
  <si>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</si>
  <si>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</si>
  <si>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</si>
  <si>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</si>
  <si>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</si>
  <si>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</si>
  <si>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</si>
  <si>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</si>
  <si>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</si>
  <si>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</si>
  <si>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</si>
  <si>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</si>
  <si>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</si>
  <si>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</si>
  <si>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</si>
  <si>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</si>
  <si>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</si>
  <si>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</si>
  <si>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</si>
  <si>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</si>
  <si>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</si>
  <si>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</si>
  <si>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</si>
  <si>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</si>
  <si>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</si>
  <si>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</si>
  <si>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</si>
  <si>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</si>
  <si>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</si>
  <si>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</si>
  <si>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</si>
  <si>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</si>
  <si>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</si>
  <si>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</si>
  <si>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</si>
  <si>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</si>
  <si>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</si>
  <si>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</si>
  <si>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</si>
  <si>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</si>
  <si>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</si>
  <si>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</si>
  <si>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</si>
  <si>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</si>
  <si>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</si>
  <si>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</si>
  <si>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</si>
  <si>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</si>
  <si>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</si>
  <si>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</si>
  <si>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</si>
  <si>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</si>
  <si>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</si>
  <si>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</si>
  <si>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</si>
  <si>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</si>
  <si>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</si>
  <si>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</si>
  <si>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</si>
  <si>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</si>
  <si>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</si>
  <si>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</si>
  <si>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</si>
  <si>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</si>
  <si>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</si>
  <si>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</si>
  <si>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</si>
  <si>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</si>
  <si>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</si>
  <si>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</si>
  <si>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</si>
  <si>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</si>
  <si>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</si>
  <si>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</si>
  <si>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</si>
  <si>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</si>
  <si>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</si>
  <si>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</si>
  <si>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</si>
  <si>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</si>
  <si>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</si>
  <si>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</si>
  <si>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</si>
  <si>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</si>
  <si>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</si>
  <si>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</si>
  <si>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</si>
  <si>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</si>
  <si>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</si>
  <si>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</si>
  <si>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</si>
  <si>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</si>
  <si>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</si>
  <si>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</si>
  <si>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</si>
  <si>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</si>
  <si>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</si>
  <si>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</si>
  <si>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</si>
  <si>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</si>
  <si>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</si>
  <si>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</si>
  <si>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</si>
  <si>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</si>
  <si>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</si>
  <si>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</si>
  <si>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</si>
  <si>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</si>
  <si>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</si>
  <si>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</si>
  <si>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</si>
  <si>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</si>
  <si>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</si>
  <si>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</si>
  <si>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</si>
  <si>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</si>
  <si>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</si>
  <si>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</si>
  <si>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</si>
  <si>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</si>
  <si>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</si>
  <si>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</si>
  <si>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</si>
  <si>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</si>
  <si>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</si>
  <si>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</si>
  <si>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</si>
  <si>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</si>
  <si>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</si>
  <si>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</si>
  <si>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</si>
  <si>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</si>
  <si>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</si>
  <si>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</si>
  <si>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</si>
  <si>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</si>
  <si>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</si>
  <si>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</si>
  <si>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</si>
  <si>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</si>
  <si>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</si>
  <si>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</si>
  <si>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</si>
  <si>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</si>
  <si>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</si>
  <si>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</si>
  <si>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</si>
  <si>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</si>
  <si>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</si>
  <si>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</si>
  <si>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</si>
  <si>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</si>
  <si>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</si>
  <si>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</si>
  <si>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</si>
  <si>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</si>
  <si>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</si>
  <si>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</si>
  <si>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</si>
  <si>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</si>
  <si>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</si>
  <si>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</si>
  <si>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</si>
  <si>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</si>
  <si>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</si>
  <si>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</si>
  <si>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</si>
  <si>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</si>
  <si>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</si>
  <si>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</si>
  <si>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</si>
  <si>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</si>
  <si>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</si>
  <si>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</si>
  <si>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</si>
  <si>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</si>
  <si>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</si>
  <si>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</si>
  <si>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</si>
  <si>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</si>
  <si>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</si>
  <si>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</si>
  <si>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</si>
  <si>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</si>
  <si>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</si>
  <si>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</si>
  <si>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</si>
  <si>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</si>
  <si>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</si>
  <si>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</si>
  <si>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</si>
  <si>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</si>
  <si>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</si>
  <si>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</si>
  <si>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</si>
  <si>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</si>
  <si>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</si>
  <si>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</si>
  <si>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</si>
  <si>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</si>
  <si>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</si>
  <si>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</si>
  <si>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</si>
  <si>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</si>
  <si>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</si>
  <si>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</si>
  <si>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</si>
  <si>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</si>
  <si>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</si>
  <si>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</si>
  <si>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</si>
  <si>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</si>
  <si>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</si>
  <si>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</si>
  <si>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</si>
  <si>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</si>
  <si>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</si>
  <si>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</si>
  <si>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</si>
  <si>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</si>
  <si>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</si>
  <si>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</si>
  <si>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</si>
  <si>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</si>
  <si>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</si>
  <si>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</si>
  <si>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</si>
  <si>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</si>
  <si>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</si>
  <si>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</si>
  <si>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</si>
  <si>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</si>
  <si>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</si>
  <si>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</si>
  <si>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</si>
  <si>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</si>
  <si>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</si>
  <si>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</si>
  <si>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</si>
  <si>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</si>
  <si>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</si>
  <si>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</si>
  <si>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</si>
  <si>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</si>
  <si>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</si>
  <si>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</si>
  <si>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</si>
  <si>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</si>
  <si>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</si>
  <si>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</si>
  <si>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</si>
  <si>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</si>
  <si>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</si>
  <si>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</si>
  <si>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</si>
  <si>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</si>
  <si>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</si>
  <si>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</si>
  <si>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</si>
  <si>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</si>
  <si>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</si>
  <si>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</si>
  <si>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</si>
  <si>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</si>
  <si>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</si>
  <si>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</si>
  <si>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</si>
  <si>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</si>
  <si>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</si>
  <si>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</si>
  <si>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</si>
  <si>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</si>
  <si>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</si>
  <si>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</si>
  <si>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</si>
  <si>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</si>
  <si>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</si>
  <si>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</si>
  <si>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</si>
  <si>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</si>
  <si>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</si>
  <si>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</si>
  <si>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</si>
  <si>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</si>
  <si>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</si>
  <si>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</si>
  <si>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</si>
  <si>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</si>
  <si>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</si>
  <si>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</si>
  <si>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</si>
  <si>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</si>
  <si>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</si>
  <si>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</si>
  <si>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</si>
  <si>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</si>
  <si>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</si>
  <si>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</si>
  <si>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</si>
  <si>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</si>
  <si>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</si>
  <si>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</si>
  <si>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</si>
  <si>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</si>
  <si>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</si>
  <si>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</si>
  <si>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</si>
  <si>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</si>
  <si>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</si>
  <si>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</si>
  <si>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</si>
  <si>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</si>
  <si>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</si>
  <si>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</si>
  <si>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</si>
  <si>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</si>
  <si>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</si>
  <si>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</si>
  <si>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</si>
  <si>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</si>
  <si>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</si>
  <si>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</si>
  <si>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</si>
  <si>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</si>
  <si>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</si>
  <si>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</si>
  <si>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</si>
  <si>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</si>
  <si>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</si>
  <si>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</si>
  <si>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</si>
  <si>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</si>
  <si>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</si>
  <si>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</si>
  <si>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</si>
  <si>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</si>
  <si>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</si>
  <si>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</si>
  <si>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</si>
  <si>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</si>
  <si>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</si>
  <si>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</si>
  <si>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</si>
  <si>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</si>
  <si>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</si>
  <si>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</si>
  <si>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</si>
  <si>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</si>
  <si>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</si>
  <si>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</si>
  <si>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</si>
  <si>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</si>
  <si>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</si>
  <si>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</si>
  <si>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</si>
  <si>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</si>
  <si>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</si>
  <si>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</si>
  <si>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</si>
  <si>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</si>
  <si>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</si>
  <si>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</si>
  <si>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</si>
  <si>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</si>
  <si>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</si>
  <si>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</si>
  <si>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</si>
  <si>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</si>
  <si>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</si>
  <si>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</si>
  <si>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</si>
  <si>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</si>
  <si>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</si>
  <si>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</si>
  <si>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</si>
  <si>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</si>
  <si>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</si>
  <si>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</si>
  <si>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</si>
  <si>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</si>
  <si>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</si>
  <si>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</si>
  <si>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</si>
  <si>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</si>
  <si>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</si>
  <si>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</si>
  <si>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</si>
  <si>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</si>
  <si>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</si>
  <si>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</si>
  <si>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</si>
  <si>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</si>
  <si>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</si>
  <si>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</si>
  <si>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</si>
  <si>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</si>
  <si>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</si>
  <si>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</si>
  <si>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</si>
  <si>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</si>
  <si>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</si>
  <si>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</si>
  <si>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</si>
  <si>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</si>
  <si>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</si>
  <si>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</si>
  <si>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</si>
  <si>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</si>
  <si>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</si>
  <si>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</si>
  <si>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</si>
  <si>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</si>
  <si>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</si>
  <si>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</si>
  <si>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</si>
  <si>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</si>
  <si>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</si>
  <si>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</si>
  <si>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</si>
  <si>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</si>
  <si>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</si>
  <si>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</si>
  <si>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</si>
  <si>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</si>
  <si>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</si>
  <si>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</si>
  <si>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</si>
  <si>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</si>
  <si>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</si>
  <si>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</si>
  <si>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</si>
  <si>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</si>
  <si>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</si>
  <si>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</si>
  <si>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</si>
  <si>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</si>
  <si>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</si>
  <si>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</si>
  <si>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</si>
  <si>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</si>
  <si>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</si>
  <si>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</si>
  <si>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</si>
  <si>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</si>
  <si>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</si>
  <si>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</si>
  <si>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</si>
  <si>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</si>
  <si>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</si>
  <si>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</si>
  <si>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</si>
  <si>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</si>
  <si>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</si>
  <si>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</si>
  <si>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</si>
  <si>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</si>
  <si>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</si>
  <si>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</si>
  <si>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</si>
  <si>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</si>
  <si>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</si>
  <si>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</si>
  <si>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</si>
  <si>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</si>
  <si>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</si>
  <si>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</si>
  <si>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</si>
  <si>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</si>
  <si>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</si>
  <si>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</si>
  <si>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</si>
  <si>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</si>
  <si>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</si>
  <si>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</si>
  <si>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</si>
  <si>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</si>
  <si>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</si>
  <si>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</si>
  <si>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</si>
  <si>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</si>
  <si>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</si>
  <si>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</si>
  <si>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</si>
  <si>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</si>
  <si>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</si>
  <si>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</si>
  <si>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</si>
  <si>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</si>
  <si>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</si>
  <si>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</si>
  <si>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</si>
  <si>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</si>
  <si>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</si>
  <si>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</si>
  <si>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</si>
  <si>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</si>
  <si>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</si>
  <si>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</si>
  <si>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</si>
  <si>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</si>
  <si>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</si>
  <si>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</si>
  <si>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</si>
  <si>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</si>
  <si>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</si>
  <si>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</si>
  <si>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</si>
  <si>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</si>
  <si>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</si>
  <si>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</si>
  <si>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</si>
  <si>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</si>
  <si>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</si>
  <si>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</si>
  <si>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</si>
  <si>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</si>
  <si>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</si>
  <si>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</si>
  <si>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</si>
  <si>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</si>
  <si>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</si>
  <si>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</si>
  <si>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</si>
  <si>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</si>
  <si>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</si>
  <si>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</si>
  <si>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</si>
  <si>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</si>
  <si>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</si>
  <si>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</si>
  <si>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</si>
  <si>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</si>
  <si>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</si>
  <si>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</si>
  <si>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</si>
  <si>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</si>
  <si>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</si>
  <si>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</si>
  <si>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</si>
  <si>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</si>
  <si>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</si>
  <si>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</si>
  <si>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</si>
  <si>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</si>
  <si>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</si>
  <si>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</si>
  <si>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</si>
  <si>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</si>
  <si>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</si>
  <si>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</si>
  <si>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</si>
  <si>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</si>
  <si>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</si>
  <si>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</si>
  <si>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</si>
  <si>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</si>
  <si>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</si>
  <si>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</si>
  <si>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</si>
  <si>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</si>
  <si>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</si>
  <si>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</si>
  <si>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</si>
  <si>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</si>
  <si>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</si>
  <si>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</si>
  <si>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</si>
  <si>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</si>
  <si>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</si>
  <si>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</si>
  <si>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</si>
  <si>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</si>
  <si>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</si>
  <si>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</si>
  <si>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</si>
  <si>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</si>
  <si>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</si>
  <si>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</si>
  <si>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</si>
  <si>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</si>
  <si>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</si>
  <si>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</si>
  <si>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</si>
  <si>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</si>
  <si>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</si>
  <si>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</si>
  <si>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</si>
  <si>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</si>
  <si>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</si>
  <si>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</si>
  <si>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</si>
  <si>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</si>
  <si>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</si>
  <si>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</si>
  <si>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</si>
  <si>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</si>
  <si>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</si>
  <si>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</si>
  <si>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</si>
  <si>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</si>
  <si>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</si>
  <si>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</si>
  <si>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</si>
  <si>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</si>
  <si>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</si>
  <si>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</si>
  <si>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</si>
  <si>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</si>
  <si>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</si>
  <si>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</si>
  <si>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</si>
  <si>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</si>
  <si>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</si>
  <si>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</si>
  <si>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</si>
  <si>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</si>
  <si>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</si>
  <si>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</si>
  <si>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</si>
  <si>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</si>
  <si>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</si>
  <si>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</si>
  <si>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</si>
  <si>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</si>
  <si>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</si>
  <si>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</si>
  <si>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</si>
  <si>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</si>
  <si>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</si>
  <si>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</si>
  <si>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</si>
  <si>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</si>
  <si>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</si>
  <si>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</si>
  <si>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</si>
  <si>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</si>
  <si>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</si>
  <si>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</si>
  <si>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</si>
  <si>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</si>
  <si>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</si>
  <si>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</si>
  <si>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</si>
  <si>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</si>
  <si>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</si>
  <si>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</si>
  <si>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</si>
  <si>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</si>
  <si>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</si>
  <si>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</si>
  <si>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</si>
  <si>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</si>
  <si>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</si>
  <si>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</si>
  <si>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</si>
  <si>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</si>
  <si>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</si>
  <si>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</si>
  <si>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</si>
  <si>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</si>
  <si>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</si>
  <si>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</si>
  <si>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</si>
  <si>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</si>
  <si>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</si>
  <si>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</si>
  <si>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</si>
  <si>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</si>
  <si>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</si>
  <si>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</si>
  <si>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</si>
  <si>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</si>
  <si>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</si>
  <si>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</si>
  <si>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</si>
  <si>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</si>
  <si>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</si>
  <si>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</si>
  <si>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</si>
  <si>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</si>
  <si>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</si>
  <si>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</si>
  <si>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</si>
  <si>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</si>
  <si>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</si>
  <si>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</si>
  <si>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</si>
  <si>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</si>
  <si>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</si>
  <si>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</si>
  <si>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</si>
  <si>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</si>
  <si>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</si>
  <si>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</si>
  <si>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</si>
  <si>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</si>
  <si>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</si>
  <si>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</si>
  <si>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</si>
  <si>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</si>
  <si>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</si>
  <si>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</si>
  <si>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</si>
  <si>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</si>
  <si>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</si>
  <si>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</si>
  <si>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</si>
  <si>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</si>
  <si>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</si>
  <si>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</si>
  <si>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</si>
  <si>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</si>
  <si>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</si>
  <si>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</si>
  <si>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</si>
  <si>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</si>
  <si>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</si>
  <si>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</si>
  <si>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</si>
  <si>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</si>
  <si>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</si>
  <si>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</si>
  <si>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</si>
  <si>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</si>
  <si>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</si>
  <si>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</si>
  <si>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</si>
  <si>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</si>
  <si>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</si>
  <si>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</si>
  <si>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</si>
  <si>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</si>
  <si>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</si>
  <si>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</si>
  <si>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</si>
  <si>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</si>
  <si>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</si>
  <si>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</si>
  <si>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</si>
  <si>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</si>
  <si>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</si>
  <si>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</si>
  <si>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</si>
  <si>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</si>
  <si>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</si>
  <si>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</si>
  <si>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</si>
  <si>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</si>
  <si>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</si>
  <si>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</si>
  <si>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</si>
  <si>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</si>
  <si>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</si>
  <si>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</si>
  <si>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</si>
  <si>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</si>
  <si>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</si>
  <si>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</si>
  <si>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</si>
  <si>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</si>
  <si>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</si>
  <si>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</si>
  <si>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</si>
  <si>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</si>
  <si>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</si>
  <si>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</si>
  <si>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</si>
  <si>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</si>
  <si>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</si>
  <si>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</si>
  <si>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</si>
  <si>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</si>
  <si>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</si>
  <si>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</si>
  <si>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</si>
  <si>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</si>
  <si>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</si>
  <si>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</si>
  <si>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</si>
  <si>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</si>
  <si>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</si>
  <si>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</si>
  <si>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</si>
  <si>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</si>
  <si>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</si>
  <si>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</si>
  <si>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</si>
  <si>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</si>
  <si>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</si>
  <si>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</si>
  <si>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</si>
  <si>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</si>
  <si>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</si>
  <si>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</si>
  <si>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</si>
  <si>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</si>
  <si>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</si>
  <si>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</si>
  <si>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</si>
  <si>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</si>
  <si>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</si>
  <si>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</si>
  <si>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</si>
  <si>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</si>
  <si>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</si>
  <si>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</si>
  <si>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</si>
  <si>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</si>
  <si>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</si>
  <si>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</si>
  <si>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</si>
  <si>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</si>
  <si>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</si>
  <si>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</si>
  <si>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</si>
  <si>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</si>
  <si>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</si>
  <si>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</si>
  <si>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</si>
  <si>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</si>
  <si>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</si>
  <si>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</si>
  <si>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</si>
  <si>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</si>
  <si>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</si>
  <si>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</si>
  <si>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</si>
  <si>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</si>
  <si>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</si>
  <si>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</si>
  <si>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</si>
  <si>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</si>
  <si>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</si>
  <si>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</si>
  <si>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</si>
  <si>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</si>
  <si>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</si>
  <si>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</si>
  <si>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</si>
  <si>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</si>
  <si>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</si>
  <si>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</si>
  <si>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</si>
  <si>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</si>
  <si>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</si>
  <si>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</si>
  <si>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</si>
  <si>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</si>
  <si>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</si>
  <si>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</si>
  <si>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</si>
  <si>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</si>
  <si>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</si>
  <si>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</si>
  <si>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</si>
  <si>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</si>
  <si>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</si>
  <si>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</si>
  <si>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</si>
  <si>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</si>
  <si>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</si>
  <si>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</si>
  <si>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</si>
  <si>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</si>
  <si>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</si>
  <si>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</si>
  <si>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</si>
  <si>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</si>
  <si>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</si>
  <si>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</si>
  <si>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</si>
  <si>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</si>
  <si>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</si>
  <si>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</si>
  <si>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</si>
  <si>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</si>
  <si>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</si>
  <si>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</si>
  <si>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</si>
  <si>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</si>
  <si>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</si>
  <si>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</si>
  <si>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</si>
  <si>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</si>
  <si>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</si>
  <si>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</si>
  <si>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</si>
  <si>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</si>
  <si>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</si>
  <si>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</si>
  <si>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</si>
  <si>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</si>
  <si>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</si>
  <si>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</si>
  <si>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</si>
  <si>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</si>
  <si>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</si>
  <si>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</si>
  <si>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</si>
  <si>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</si>
  <si>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</si>
  <si>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</si>
  <si>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</si>
  <si>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</si>
  <si>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</si>
  <si>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</si>
  <si>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</si>
  <si>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</si>
  <si>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</si>
  <si>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</si>
  <si>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</si>
  <si>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</si>
  <si>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</si>
  <si>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</si>
  <si>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</si>
  <si>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</si>
  <si>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</si>
  <si>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</si>
  <si>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</si>
  <si>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</si>
  <si>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</si>
  <si>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</si>
  <si>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</si>
  <si>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</si>
  <si>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</si>
  <si>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</si>
  <si>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</si>
  <si>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</si>
  <si>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</si>
  <si>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</si>
  <si>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</si>
  <si>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</si>
  <si>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</si>
  <si>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</si>
  <si>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</si>
  <si>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</si>
  <si>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</si>
  <si>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</si>
  <si>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</si>
  <si>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</si>
  <si>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</si>
  <si>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</si>
  <si>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</si>
  <si>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</si>
  <si>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</si>
  <si>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</si>
  <si>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</si>
  <si>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</si>
  <si>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</si>
  <si>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</si>
  <si>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</si>
  <si>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</si>
  <si>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</si>
  <si>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</si>
  <si>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</si>
  <si>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</si>
  <si>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</si>
  <si>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</si>
  <si>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</si>
  <si>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</si>
  <si>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</si>
  <si>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</si>
  <si>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</si>
  <si>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</si>
  <si>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</si>
  <si>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</si>
  <si>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</si>
  <si>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</si>
  <si>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</si>
  <si>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</si>
  <si>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</si>
  <si>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</si>
  <si>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</si>
  <si>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</si>
  <si>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</si>
  <si>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</si>
  <si>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</si>
  <si>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</si>
  <si>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</si>
  <si>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</si>
  <si>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</si>
  <si>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</si>
  <si>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</si>
  <si>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</si>
  <si>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</si>
  <si>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</si>
  <si>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</si>
  <si>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</si>
  <si>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</si>
  <si>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</si>
  <si>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</si>
  <si>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</si>
  <si>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</si>
  <si>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</si>
  <si>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</si>
  <si>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</si>
  <si>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</si>
  <si>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</si>
  <si>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</si>
  <si>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</si>
  <si>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</si>
  <si>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</si>
  <si>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</si>
  <si>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</si>
  <si>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</si>
  <si>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</si>
  <si>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</si>
  <si>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</si>
  <si>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</si>
  <si>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</si>
  <si>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</si>
  <si>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</si>
  <si>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</si>
  <si>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</si>
  <si>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</si>
  <si>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</si>
  <si>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</si>
  <si>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</si>
  <si>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</si>
  <si>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</si>
  <si>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</si>
  <si>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</si>
  <si>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</si>
  <si>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</si>
  <si>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</si>
  <si>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</si>
  <si>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</si>
  <si>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</si>
  <si>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</si>
  <si>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</si>
  <si>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</si>
  <si>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</si>
  <si>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</si>
  <si>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</si>
  <si>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</si>
  <si>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</si>
  <si>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</si>
  <si>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</si>
  <si>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</si>
  <si>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</si>
  <si>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</si>
  <si>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</si>
  <si>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</si>
  <si>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</si>
  <si>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</si>
  <si>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</si>
  <si>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</si>
  <si>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</si>
  <si>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</si>
  <si>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</si>
  <si>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</si>
  <si>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</si>
  <si>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</si>
  <si>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</si>
  <si>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</si>
  <si>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</si>
  <si>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</si>
  <si>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</si>
  <si>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</si>
  <si>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</si>
  <si>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</si>
  <si>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</si>
  <si>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</si>
  <si>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</si>
  <si>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</si>
  <si>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</si>
  <si>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</si>
  <si>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</si>
  <si>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</si>
  <si>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</si>
  <si>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</si>
  <si>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</si>
  <si>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</si>
  <si>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</si>
  <si>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</si>
  <si>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</si>
  <si>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</si>
  <si>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</si>
  <si>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</si>
  <si>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</si>
  <si>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</si>
  <si>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</si>
  <si>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</si>
  <si>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</si>
  <si>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</si>
  <si>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</si>
  <si>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</si>
  <si>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</si>
  <si>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</si>
  <si>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</si>
  <si>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</si>
  <si>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</si>
  <si>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</si>
  <si>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</si>
  <si>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</si>
  <si>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</si>
  <si>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</si>
  <si>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</si>
  <si>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</si>
  <si>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</si>
  <si>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</si>
  <si>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</si>
  <si>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</si>
  <si>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</si>
  <si>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</si>
  <si>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</si>
  <si>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</si>
  <si>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</si>
  <si>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</si>
  <si>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</si>
  <si>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</si>
  <si>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</si>
  <si>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</si>
  <si>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</si>
  <si>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</si>
  <si>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</si>
  <si>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</si>
  <si>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</si>
  <si>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</si>
  <si>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</si>
  <si>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</si>
  <si>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</si>
  <si>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</si>
  <si>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</si>
  <si>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</si>
  <si>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</si>
  <si>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</si>
  <si>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</si>
  <si>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</si>
  <si>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</si>
  <si>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</si>
  <si>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</si>
  <si>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</si>
  <si>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</si>
  <si>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</si>
  <si>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</si>
  <si>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</si>
  <si>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</si>
  <si>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</si>
  <si>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</si>
  <si>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</si>
  <si>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</si>
  <si>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</si>
  <si>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</si>
  <si>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</si>
  <si>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</si>
  <si>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</si>
  <si>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</si>
  <si>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</si>
  <si>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</si>
  <si>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</si>
  <si>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</si>
  <si>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</si>
  <si>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</si>
  <si>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</si>
  <si>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</si>
  <si>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</si>
  <si>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</si>
  <si>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</si>
  <si>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</si>
  <si>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</si>
  <si>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</si>
  <si>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</si>
  <si>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</si>
  <si>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</si>
  <si>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</si>
  <si>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</si>
  <si>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</si>
  <si>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</si>
  <si>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</si>
  <si>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</si>
  <si>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</si>
  <si>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</si>
  <si>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</si>
  <si>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</si>
  <si>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</si>
  <si>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</si>
  <si>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</si>
  <si>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</si>
  <si>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</si>
  <si>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</si>
  <si>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</si>
  <si>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</si>
  <si>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</si>
  <si>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</si>
  <si>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</si>
  <si>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</si>
  <si>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</si>
  <si>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</si>
  <si>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</si>
  <si>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</si>
  <si>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</si>
  <si>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</si>
  <si>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</si>
  <si>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</si>
  <si>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</si>
  <si>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</si>
  <si>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</si>
  <si>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</si>
  <si>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</si>
  <si>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</si>
  <si>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</si>
  <si>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</si>
  <si>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</si>
  <si>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</si>
  <si>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</si>
  <si>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</si>
  <si>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</si>
  <si>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</si>
  <si>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</si>
  <si>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</si>
  <si>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</si>
  <si>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</si>
  <si>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</si>
  <si>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</si>
  <si>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</si>
  <si>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</si>
  <si>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</si>
  <si>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</si>
  <si>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</si>
  <si>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</si>
  <si>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</si>
  <si>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</si>
  <si>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</si>
  <si>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</si>
  <si>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</si>
  <si>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</si>
  <si>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</si>
  <si>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</si>
  <si>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</si>
  <si>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</si>
  <si>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</si>
  <si>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</si>
  <si>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</si>
  <si>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</si>
  <si>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</si>
  <si>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</si>
  <si>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</si>
  <si>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</si>
  <si>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</si>
  <si>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</si>
  <si>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</si>
  <si>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</si>
  <si>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</si>
  <si>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</si>
  <si>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</si>
  <si>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</si>
  <si>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</si>
  <si>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</si>
  <si>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</si>
  <si>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</si>
  <si>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</si>
  <si>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</si>
  <si>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</si>
  <si>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</si>
  <si>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</si>
  <si>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</si>
  <si>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</si>
  <si>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</si>
  <si>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</si>
  <si>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</si>
  <si>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</si>
  <si>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</si>
  <si>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</si>
  <si>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</si>
  <si>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</si>
  <si>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</si>
  <si>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</si>
  <si>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</si>
  <si>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</si>
  <si>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</si>
  <si>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</si>
  <si>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</si>
  <si>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</si>
  <si>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</si>
  <si>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</si>
  <si>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</si>
  <si>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</si>
  <si>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</si>
  <si>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</si>
  <si>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</si>
  <si>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</si>
  <si>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</si>
  <si>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</si>
  <si>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</si>
  <si>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</si>
  <si>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</si>
  <si>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</si>
  <si>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</si>
  <si>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</si>
  <si>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</si>
  <si>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</si>
  <si>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</si>
  <si>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</si>
  <si>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</si>
  <si>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</si>
  <si>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</si>
  <si>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</si>
  <si>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</si>
  <si>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</si>
  <si>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</si>
  <si>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</si>
  <si>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</si>
  <si>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</si>
  <si>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</si>
  <si>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</si>
  <si>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</si>
  <si>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</si>
  <si>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</si>
  <si>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</si>
  <si>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</si>
  <si>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</si>
  <si>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</si>
  <si>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</si>
  <si>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</si>
  <si>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</si>
  <si>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</si>
  <si>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</si>
  <si>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</si>
  <si>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</si>
  <si>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</si>
  <si>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</si>
  <si>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</si>
  <si>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</si>
  <si>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</si>
  <si>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</si>
  <si>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</si>
  <si>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</si>
  <si>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</si>
  <si>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</si>
  <si>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</si>
  <si>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</si>
  <si>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</si>
  <si>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</si>
  <si>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</si>
  <si>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</si>
  <si>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</si>
  <si>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</si>
  <si>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</si>
  <si>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</si>
  <si>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</si>
  <si>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</si>
  <si>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</si>
  <si>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</si>
  <si>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</si>
  <si>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</si>
  <si>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</si>
  <si>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</si>
  <si>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</si>
  <si>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</si>
  <si>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</si>
  <si>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</si>
  <si>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</si>
  <si>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</si>
  <si>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</si>
  <si>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</si>
  <si>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</si>
  <si>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</si>
  <si>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</si>
  <si>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</si>
  <si>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</si>
  <si>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</si>
  <si>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</si>
  <si>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</si>
  <si>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</si>
  <si>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</si>
  <si>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</si>
  <si>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</si>
  <si>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</si>
  <si>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</si>
  <si>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</si>
  <si>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</si>
  <si>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</si>
  <si>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</si>
  <si>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</si>
  <si>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</si>
  <si>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</si>
  <si>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</si>
  <si>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</si>
  <si>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</si>
  <si>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</si>
  <si>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</si>
  <si>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</si>
  <si>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</si>
  <si>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</si>
  <si>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</si>
  <si>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</si>
  <si>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</si>
  <si>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</si>
  <si>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</si>
  <si>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</si>
  <si>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</si>
  <si>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</si>
  <si>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</si>
  <si>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</si>
  <si>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</si>
  <si>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</si>
  <si>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</si>
  <si>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</si>
  <si>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</si>
  <si>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</si>
  <si>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</si>
  <si>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</si>
  <si>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</si>
  <si>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</si>
  <si>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</si>
  <si>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</si>
  <si>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</si>
  <si>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</si>
  <si>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</si>
  <si>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</si>
  <si>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</si>
  <si>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</si>
  <si>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</si>
  <si>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</si>
  <si>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</si>
  <si>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</si>
  <si>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</si>
  <si>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</si>
  <si>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</si>
  <si>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</si>
  <si>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</si>
  <si>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</si>
  <si>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</si>
  <si>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</si>
  <si>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</si>
  <si>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</si>
  <si>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</si>
  <si>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</si>
  <si>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</si>
  <si>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</si>
  <si>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</si>
  <si>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</si>
  <si>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</si>
  <si>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</si>
  <si>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</si>
  <si>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</si>
  <si>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</si>
  <si>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</si>
  <si>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</si>
  <si>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</si>
  <si>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</si>
  <si>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</si>
  <si>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</si>
  <si>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</si>
  <si>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</si>
  <si>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</si>
  <si>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</si>
  <si>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</si>
  <si>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</si>
  <si>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</si>
  <si>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</si>
  <si>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</si>
  <si>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</si>
  <si>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</si>
  <si>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</si>
  <si>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</si>
  <si>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</si>
  <si>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</si>
  <si>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</si>
  <si>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</si>
  <si>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</si>
  <si>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</si>
  <si>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</si>
  <si>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</si>
  <si>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</si>
  <si>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</si>
  <si>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</si>
  <si>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</si>
  <si>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</si>
  <si>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</si>
  <si>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</si>
  <si>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</si>
  <si>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</si>
  <si>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</si>
  <si>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</si>
  <si>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</si>
  <si>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</si>
  <si>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</si>
  <si>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</si>
  <si>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</si>
  <si>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</si>
  <si>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</si>
  <si>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</si>
  <si>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</si>
  <si>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</si>
  <si>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</si>
  <si>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</si>
  <si>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</si>
  <si>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</si>
  <si>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</si>
  <si>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</si>
  <si>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</si>
  <si>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</si>
  <si>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</si>
  <si>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</si>
  <si>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</si>
  <si>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</si>
  <si>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</si>
  <si>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</si>
  <si>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</si>
  <si>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</si>
  <si>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</si>
  <si>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</si>
  <si>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</si>
  <si>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</si>
  <si>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</si>
  <si>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</si>
  <si>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</si>
  <si>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</si>
  <si>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</si>
  <si>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</si>
  <si>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</si>
  <si>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</si>
  <si>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</si>
  <si>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</si>
  <si>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</si>
  <si>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</si>
  <si>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</si>
  <si>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</si>
  <si>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</si>
  <si>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</si>
  <si>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</si>
  <si>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</si>
  <si>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</si>
  <si>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</si>
  <si>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</si>
  <si>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</si>
  <si>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</si>
  <si>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</si>
  <si>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</si>
  <si>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</si>
  <si>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</si>
  <si>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</si>
  <si>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</si>
  <si>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</si>
  <si>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</si>
  <si>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</si>
  <si>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</si>
  <si>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</si>
  <si>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</si>
  <si>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</si>
  <si>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</si>
  <si>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</si>
  <si>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</si>
  <si>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</si>
  <si>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</si>
  <si>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</si>
  <si>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</si>
  <si>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</si>
  <si>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</si>
  <si>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</si>
  <si>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</si>
  <si>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</si>
  <si>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</si>
  <si>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</si>
  <si>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</si>
  <si>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</si>
  <si>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</si>
  <si>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</si>
  <si>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</si>
  <si>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</si>
  <si>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</si>
  <si>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</si>
  <si>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</si>
  <si>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</si>
  <si>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</si>
  <si>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</si>
  <si>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</si>
  <si>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</si>
  <si>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</si>
  <si>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</si>
  <si>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</si>
  <si>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</si>
  <si>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</si>
  <si>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</si>
  <si>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</si>
  <si>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</si>
  <si>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</si>
  <si>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</si>
  <si>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</si>
  <si>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</si>
  <si>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</si>
  <si>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</si>
  <si>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</si>
  <si>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</si>
  <si>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</si>
  <si>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</si>
  <si>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</si>
  <si>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</si>
  <si>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</si>
  <si>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</si>
  <si>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</si>
  <si>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</si>
  <si>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</si>
  <si>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</si>
  <si>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</si>
  <si>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</si>
  <si>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</si>
  <si>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</si>
  <si>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</si>
  <si>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</si>
  <si>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</si>
  <si>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</si>
  <si>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</si>
  <si>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</si>
  <si>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</si>
  <si>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</si>
  <si>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</si>
  <si>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</si>
  <si>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</si>
  <si>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</si>
  <si>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</si>
  <si>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</si>
  <si>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</si>
  <si>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</si>
  <si>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</si>
  <si>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</si>
  <si>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</si>
  <si>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</si>
  <si>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</si>
  <si>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</si>
  <si>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</si>
  <si>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</si>
  <si>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</si>
  <si>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</si>
  <si>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</si>
  <si>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</si>
  <si>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</si>
  <si>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</si>
  <si>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</si>
  <si>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</si>
  <si>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</si>
  <si>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</si>
  <si>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</si>
  <si>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</si>
  <si>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</si>
  <si>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</si>
  <si>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</si>
  <si>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</si>
  <si>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</si>
  <si>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</si>
  <si>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</si>
  <si>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</si>
  <si>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</si>
  <si>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</si>
  <si>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</si>
  <si>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</si>
  <si>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</si>
  <si>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</si>
  <si>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</si>
  <si>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</si>
  <si>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</si>
  <si>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</si>
  <si>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</si>
  <si>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</si>
  <si>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</si>
  <si>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</si>
  <si>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</si>
  <si>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</si>
  <si>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</si>
  <si>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</si>
  <si>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</si>
  <si>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</si>
  <si>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</si>
  <si>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</si>
  <si>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</si>
  <si>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</si>
  <si>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</si>
  <si>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</si>
  <si>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</si>
  <si>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</si>
  <si>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</si>
  <si>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</si>
  <si>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</si>
  <si>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</si>
  <si>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</si>
  <si>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</si>
  <si>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</si>
  <si>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</si>
  <si>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</si>
  <si>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</si>
  <si>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</si>
  <si>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</si>
  <si>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</si>
  <si>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</si>
  <si>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</si>
  <si>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</si>
  <si>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</si>
  <si>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</si>
  <si>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</si>
  <si>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</si>
  <si>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</si>
  <si>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</si>
  <si>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</si>
  <si>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</si>
  <si>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</si>
  <si>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</si>
  <si>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</si>
  <si>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</si>
  <si>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</si>
  <si>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</si>
  <si>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</si>
  <si>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</si>
  <si>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</si>
  <si>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</si>
  <si>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</si>
  <si>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</si>
  <si>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</si>
  <si>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</si>
  <si>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</si>
  <si>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</si>
  <si>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</si>
  <si>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</si>
  <si>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</si>
  <si>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</si>
  <si>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</si>
  <si>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</si>
  <si>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</si>
  <si>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</si>
  <si>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</si>
  <si>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</si>
  <si>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</si>
  <si>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</si>
  <si>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</si>
  <si>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</si>
  <si>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</si>
  <si>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</si>
  <si>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</si>
  <si>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</si>
  <si>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</si>
  <si>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</si>
  <si>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</si>
  <si>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</si>
  <si>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</si>
  <si>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</si>
  <si>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</si>
  <si>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</si>
  <si>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</si>
  <si>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</si>
  <si>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</si>
  <si>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</si>
  <si>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</si>
  <si>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</si>
  <si>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</si>
  <si>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</si>
  <si>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</si>
  <si>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</si>
  <si>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</si>
  <si>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</si>
  <si>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</si>
  <si>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</si>
  <si>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</si>
  <si>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</si>
  <si>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</si>
  <si>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</si>
  <si>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</si>
  <si>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</si>
  <si>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</si>
  <si>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</si>
  <si>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</si>
  <si>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</si>
  <si>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</si>
  <si>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</si>
  <si>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</si>
  <si>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</si>
  <si>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</si>
  <si>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</si>
  <si>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</si>
  <si>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</si>
  <si>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</si>
  <si>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</si>
  <si>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</si>
  <si>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</si>
  <si>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</si>
  <si>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</si>
  <si>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</si>
  <si>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</si>
  <si>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</si>
  <si>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</si>
  <si>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</si>
  <si>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</si>
  <si>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</si>
  <si>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</si>
  <si>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</si>
  <si>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</si>
  <si>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</si>
  <si>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</si>
  <si>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</si>
  <si>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</si>
  <si>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</si>
  <si>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</si>
  <si>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</si>
  <si>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</si>
  <si>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</si>
  <si>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</si>
  <si>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</si>
  <si>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</si>
  <si>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</si>
  <si>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</si>
  <si>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</si>
  <si>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</si>
  <si>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</si>
  <si>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</si>
  <si>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</si>
  <si>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</si>
  <si>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</si>
  <si>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</si>
  <si>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</si>
  <si>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</si>
  <si>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</si>
  <si>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</si>
  <si>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</si>
  <si>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</si>
  <si>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</si>
  <si>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</si>
  <si>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</si>
  <si>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</si>
  <si>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</si>
  <si>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</si>
  <si>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</si>
  <si>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</si>
  <si>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</si>
  <si>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</si>
  <si>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</si>
  <si>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</si>
  <si>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</si>
  <si>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</si>
  <si>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</si>
  <si>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</si>
  <si>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</si>
  <si>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</si>
  <si>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</si>
  <si>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</si>
  <si>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</si>
  <si>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</si>
  <si>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</si>
  <si>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</si>
  <si>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</si>
  <si>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</si>
  <si>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</si>
  <si>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</si>
  <si>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</si>
  <si>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</si>
  <si>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</si>
  <si>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</si>
  <si>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</si>
  <si>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</si>
  <si>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</si>
  <si>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</si>
  <si>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</si>
  <si>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</si>
  <si>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</si>
  <si>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</si>
  <si>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</si>
  <si>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</si>
  <si>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</si>
  <si>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</si>
  <si>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</si>
  <si>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</si>
  <si>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</si>
  <si>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</si>
  <si>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</si>
  <si>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</si>
  <si>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</si>
  <si>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</si>
  <si>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</si>
  <si>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</si>
  <si>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</si>
  <si>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</si>
  <si>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</si>
  <si>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</si>
  <si>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</si>
  <si>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</si>
  <si>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</si>
  <si>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</si>
  <si>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</si>
  <si>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</si>
  <si>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</si>
  <si>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</si>
  <si>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</si>
  <si>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</si>
  <si>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</si>
  <si>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</si>
  <si>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</si>
  <si>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</si>
  <si>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</si>
  <si>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</si>
  <si>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</si>
  <si>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</si>
  <si>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</si>
  <si>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</si>
  <si>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</si>
  <si>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</si>
  <si>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</si>
  <si>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</si>
  <si>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</si>
  <si>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</si>
  <si>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</si>
  <si>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</si>
  <si>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</si>
  <si>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</si>
  <si>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</si>
  <si>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</si>
  <si>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</si>
  <si>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</si>
  <si>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</si>
  <si>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</si>
  <si>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</si>
  <si>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</si>
  <si>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</si>
  <si>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</si>
  <si>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</si>
  <si>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</si>
  <si>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</si>
  <si>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</si>
  <si>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</si>
  <si>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</si>
  <si>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</si>
  <si>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</si>
  <si>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</si>
  <si>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</si>
  <si>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</si>
  <si>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</si>
  <si>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</si>
  <si>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</si>
  <si>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</si>
  <si>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</si>
  <si>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</si>
  <si>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</si>
  <si>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</si>
  <si>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</si>
  <si>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</si>
  <si>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</si>
  <si>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</si>
  <si>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</si>
  <si>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</si>
  <si>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</si>
  <si>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</si>
  <si>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</si>
  <si>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</si>
  <si>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</si>
  <si>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</si>
  <si>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</si>
  <si>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</si>
  <si>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</si>
  <si>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</si>
  <si>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</si>
  <si>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</si>
  <si>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</si>
  <si>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</si>
  <si>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</si>
  <si>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</si>
  <si>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</si>
  <si>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</si>
  <si>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</si>
  <si>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</si>
  <si>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</si>
  <si>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</si>
  <si>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</si>
  <si>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</si>
  <si>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</si>
  <si>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</si>
  <si>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</si>
  <si>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</si>
  <si>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</si>
  <si>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</si>
  <si>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</si>
  <si>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</si>
  <si>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</si>
  <si>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</si>
  <si>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</si>
  <si>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</si>
  <si>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</si>
  <si>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</si>
  <si>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</si>
  <si>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</si>
  <si>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</si>
  <si>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</si>
  <si>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</si>
  <si>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</si>
  <si>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</si>
  <si>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</si>
  <si>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</si>
  <si>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</si>
  <si>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</si>
  <si>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</si>
  <si>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</si>
  <si>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</si>
  <si>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</si>
  <si>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</si>
  <si>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</si>
  <si>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</si>
  <si>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</si>
  <si>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</si>
  <si>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</si>
  <si>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</si>
  <si>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</si>
  <si>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</si>
  <si>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</si>
  <si>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</si>
  <si>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</si>
  <si>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</si>
  <si>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</si>
  <si>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</si>
  <si>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</si>
  <si>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</si>
  <si>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</si>
  <si>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</si>
  <si>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</si>
  <si>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</si>
  <si>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</si>
  <si>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</si>
  <si>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</si>
  <si>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</si>
  <si>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</si>
  <si>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</si>
  <si>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</si>
  <si>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</si>
  <si>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</si>
  <si>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</si>
  <si>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</si>
  <si>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</si>
  <si>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</si>
  <si>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</si>
  <si>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</si>
  <si>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</si>
  <si>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</si>
  <si>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</si>
  <si>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</si>
  <si>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</si>
  <si>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</si>
  <si>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</si>
  <si>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</si>
  <si>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</si>
  <si>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</si>
  <si>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</si>
  <si>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</si>
  <si>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</si>
  <si>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</si>
  <si>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</si>
  <si>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</si>
  <si>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</si>
  <si>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</si>
  <si>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</si>
  <si>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</si>
  <si>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</si>
  <si>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</si>
  <si>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</si>
  <si>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</si>
  <si>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</si>
  <si>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</si>
  <si>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</si>
  <si>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</si>
  <si>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</si>
  <si>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</si>
  <si>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</si>
  <si>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</si>
  <si>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</si>
  <si>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</si>
  <si>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</si>
  <si>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</si>
  <si>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</si>
  <si>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</si>
  <si>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</si>
  <si>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</si>
  <si>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</si>
  <si>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</si>
  <si>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</si>
  <si>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</si>
  <si>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</si>
  <si>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</si>
  <si>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</si>
  <si>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</si>
  <si>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</si>
  <si>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</si>
  <si>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</si>
  <si>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</si>
  <si>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</si>
  <si>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</si>
  <si>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</si>
  <si>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</si>
  <si>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</si>
  <si>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</si>
  <si>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</si>
  <si>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</si>
  <si>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</si>
  <si>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</si>
  <si>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</si>
  <si>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</si>
  <si>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</si>
  <si>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</si>
  <si>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</si>
  <si>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</si>
  <si>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</si>
  <si>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</si>
  <si>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</si>
  <si>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</si>
  <si>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</si>
  <si>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</si>
  <si>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</si>
  <si>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</si>
  <si>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</si>
  <si>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</si>
  <si>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</si>
  <si>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</si>
  <si>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</si>
  <si>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</si>
  <si>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</si>
  <si>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</si>
  <si>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</si>
  <si>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</si>
  <si>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</si>
  <si>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</si>
  <si>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</si>
  <si>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</si>
  <si>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</si>
  <si>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</si>
  <si>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</si>
  <si>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</si>
  <si>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</si>
  <si>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</si>
  <si>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</si>
  <si>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</si>
  <si>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</si>
  <si>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</si>
  <si>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</si>
  <si>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</si>
  <si>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</si>
  <si>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</si>
  <si>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</si>
  <si>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</si>
  <si>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</si>
  <si>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</si>
  <si>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</si>
  <si>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</si>
  <si>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</si>
  <si>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</si>
  <si>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</si>
  <si>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</si>
  <si>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</si>
  <si>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</si>
  <si>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</si>
  <si>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</si>
  <si>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</si>
  <si>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</si>
  <si>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</si>
  <si>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</si>
  <si>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</si>
  <si>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</si>
  <si>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</si>
  <si>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</si>
  <si>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</si>
  <si>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</si>
  <si>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</si>
  <si>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</si>
  <si>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</si>
  <si>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</si>
  <si>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</si>
  <si>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</si>
  <si>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</si>
  <si>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</si>
  <si>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</si>
  <si>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</si>
  <si>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</si>
  <si>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</si>
  <si>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</si>
  <si>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</si>
  <si>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</si>
  <si>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</si>
  <si>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</si>
  <si>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</si>
  <si>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</si>
  <si>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</si>
  <si>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</si>
  <si>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</si>
  <si>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</si>
  <si>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</si>
  <si>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</si>
  <si>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</si>
  <si>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</si>
  <si>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</si>
  <si>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</si>
  <si>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</si>
  <si>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</si>
  <si>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</si>
  <si>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</si>
  <si>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</si>
  <si>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</si>
  <si>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</si>
  <si>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</si>
  <si>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</si>
  <si>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</si>
  <si>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</si>
  <si>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</si>
  <si>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</si>
  <si>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</si>
  <si>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</si>
  <si>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</si>
  <si>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</si>
  <si>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</si>
  <si>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</si>
  <si>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</si>
  <si>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</si>
  <si>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</si>
  <si>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</si>
  <si>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</si>
  <si>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</si>
  <si>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</si>
  <si>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</si>
  <si>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</si>
  <si>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</si>
  <si>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</si>
  <si>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</si>
  <si>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</si>
  <si>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</si>
  <si>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</si>
  <si>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</si>
  <si>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</si>
  <si>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</si>
  <si>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</si>
  <si>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</si>
  <si>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</si>
  <si>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</si>
  <si>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</si>
  <si>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</si>
  <si>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</si>
  <si>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</si>
  <si>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</si>
  <si>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</si>
  <si>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</si>
  <si>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</si>
  <si>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</si>
  <si>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</si>
  <si>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</si>
  <si>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</si>
  <si>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</si>
  <si>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</si>
  <si>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</si>
  <si>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</si>
  <si>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</si>
  <si>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</si>
  <si>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</si>
  <si>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</si>
  <si>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</si>
  <si>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</si>
  <si>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</si>
  <si>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</si>
  <si>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</si>
  <si>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</si>
  <si>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</si>
  <si>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</si>
  <si>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</si>
  <si>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</si>
  <si>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</si>
  <si>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</si>
  <si>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</si>
  <si>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</si>
  <si>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</si>
  <si>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</si>
  <si>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</si>
  <si>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</si>
  <si>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</si>
  <si>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</si>
  <si>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</si>
  <si>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</si>
  <si>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</si>
  <si>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</si>
  <si>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</si>
  <si>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</si>
  <si>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</si>
  <si>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</si>
  <si>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</si>
  <si>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</si>
  <si>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</si>
  <si>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</si>
  <si>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</si>
  <si>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</si>
  <si>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</si>
  <si>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</si>
  <si>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</si>
  <si>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</si>
  <si>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</si>
  <si>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</si>
  <si>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</si>
  <si>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</si>
  <si>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</si>
  <si>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</si>
  <si>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</si>
  <si>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</si>
  <si>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</si>
  <si>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</si>
  <si>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</si>
  <si>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</si>
  <si>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</si>
  <si>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</si>
  <si>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</si>
  <si>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</si>
  <si>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</si>
  <si>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</si>
  <si>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</si>
  <si>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</si>
  <si>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</si>
  <si>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</si>
  <si>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</si>
  <si>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</si>
  <si>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</si>
  <si>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</si>
  <si>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</si>
  <si>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</si>
  <si>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</si>
  <si>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</si>
  <si>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</si>
  <si>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</si>
  <si>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</si>
  <si>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</si>
  <si>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</si>
  <si>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</si>
  <si>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</si>
  <si>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</si>
  <si>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</si>
  <si>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</si>
  <si>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</si>
  <si>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</si>
  <si>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</si>
  <si>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</si>
  <si>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</si>
  <si>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</si>
  <si>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</si>
  <si>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</si>
  <si>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</si>
  <si>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</si>
  <si>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</si>
  <si>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</si>
  <si>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</si>
  <si>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</si>
  <si>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</si>
  <si>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</si>
  <si>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</si>
  <si>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</si>
  <si>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</si>
  <si>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</si>
  <si>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</si>
  <si>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</si>
  <si>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</si>
  <si>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</si>
  <si>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</si>
  <si>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</si>
  <si>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</si>
  <si>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</si>
  <si>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</si>
  <si>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</si>
  <si>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</si>
  <si>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</si>
  <si>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</si>
  <si>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</si>
  <si>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</si>
  <si>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</si>
  <si>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</si>
  <si>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</si>
  <si>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</si>
  <si>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</si>
  <si>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</si>
  <si>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</si>
  <si>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</si>
  <si>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</si>
  <si>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</si>
  <si>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</si>
  <si>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</si>
  <si>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</si>
  <si>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</si>
  <si>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</si>
  <si>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</si>
  <si>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</si>
  <si>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</si>
  <si>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</si>
  <si>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</si>
  <si>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</si>
  <si>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</si>
  <si>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</si>
  <si>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</si>
  <si>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</si>
  <si>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</si>
  <si>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</si>
  <si>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</si>
  <si>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</si>
  <si>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</si>
  <si>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</si>
  <si>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</si>
  <si>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</si>
  <si>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</si>
  <si>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</si>
  <si>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</si>
  <si>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</si>
  <si>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</si>
  <si>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</si>
  <si>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</si>
  <si>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</si>
  <si>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</si>
  <si>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</si>
  <si>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</si>
  <si>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</si>
  <si>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</si>
  <si>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</si>
  <si>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</si>
  <si>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</si>
  <si>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</si>
  <si>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</si>
  <si>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</si>
  <si>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</si>
  <si>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</si>
  <si>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</si>
  <si>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</si>
  <si>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</si>
  <si>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</si>
  <si>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</si>
  <si>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</si>
  <si>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</si>
  <si>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</si>
  <si>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</si>
  <si>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</si>
  <si>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</si>
  <si>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</si>
  <si>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</si>
  <si>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</si>
  <si>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</si>
  <si>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</si>
  <si>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</si>
  <si>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</si>
  <si>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</si>
  <si>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</si>
  <si>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</si>
  <si>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</si>
  <si>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</si>
  <si>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</si>
  <si>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</si>
  <si>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</si>
  <si>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</si>
  <si>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</si>
  <si>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</si>
  <si>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</si>
  <si>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</si>
  <si>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</si>
  <si>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</si>
  <si>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</si>
  <si>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</si>
  <si>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</si>
  <si>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</si>
  <si>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</si>
  <si>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</si>
  <si>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</si>
  <si>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</si>
  <si>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</si>
  <si>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</si>
  <si>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</si>
  <si>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</si>
  <si>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</si>
  <si>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</si>
  <si>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</si>
  <si>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</si>
  <si>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</si>
  <si>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</si>
  <si>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</si>
  <si>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</si>
  <si>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</si>
  <si>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</si>
  <si>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</si>
  <si>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</si>
  <si>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</si>
  <si>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</si>
  <si>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</si>
  <si>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</si>
  <si>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</si>
  <si>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</si>
  <si>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</si>
  <si>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</si>
  <si>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</si>
  <si>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</si>
  <si>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</si>
  <si>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</si>
  <si>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</si>
  <si>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</si>
  <si>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</si>
  <si>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</si>
  <si>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</si>
  <si>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</si>
  <si>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</si>
  <si>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</si>
  <si>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</si>
  <si>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</si>
  <si>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</si>
  <si>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</si>
  <si>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</si>
  <si>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</si>
  <si>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</si>
  <si>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</si>
  <si>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</si>
  <si>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</si>
  <si>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</si>
  <si>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</si>
  <si>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</si>
  <si>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</si>
  <si>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</si>
  <si>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</si>
  <si>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</si>
  <si>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</si>
  <si>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</si>
  <si>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</si>
  <si>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</si>
  <si>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</si>
  <si>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</si>
  <si>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</si>
  <si>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</si>
  <si>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</si>
  <si>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</si>
  <si>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</si>
  <si>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</si>
  <si>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</si>
  <si>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</si>
  <si>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</si>
  <si>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</si>
  <si>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</si>
  <si>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</si>
  <si>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</si>
  <si>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</si>
  <si>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</si>
  <si>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</si>
  <si>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</si>
  <si>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</si>
  <si>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</si>
  <si>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</si>
  <si>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</si>
  <si>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</si>
  <si>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</si>
  <si>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</si>
  <si>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</si>
  <si>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</si>
  <si>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</si>
  <si>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</si>
  <si>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</si>
  <si>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</si>
  <si>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</si>
  <si>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</si>
  <si>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</si>
  <si>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</si>
  <si>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</si>
  <si>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</si>
  <si>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</si>
  <si>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</si>
  <si>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</si>
  <si>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</si>
  <si>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</si>
  <si>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</si>
  <si>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</si>
  <si>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</si>
  <si>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</si>
  <si>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</si>
  <si>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</si>
  <si>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</si>
  <si>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</si>
  <si>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</si>
  <si>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</si>
  <si>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</si>
  <si>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</si>
  <si>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</si>
  <si>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</si>
  <si>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</si>
  <si>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</si>
  <si>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</si>
  <si>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</si>
  <si>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</si>
  <si>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</si>
  <si>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</si>
  <si>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</si>
  <si>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</si>
  <si>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</si>
  <si>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</si>
  <si>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</si>
  <si>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</si>
  <si>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</si>
  <si>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</si>
  <si>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</si>
  <si>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</si>
  <si>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</si>
  <si>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</si>
  <si>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</si>
  <si>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</si>
  <si>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</si>
  <si>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</si>
  <si>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</si>
  <si>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</si>
  <si>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</si>
  <si>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</si>
  <si>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</si>
  <si>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</si>
  <si>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</si>
  <si>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</si>
  <si>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</si>
  <si>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</si>
  <si>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</si>
  <si>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</si>
  <si>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</si>
  <si>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</si>
  <si>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</si>
  <si>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</si>
  <si>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</si>
  <si>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</si>
  <si>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</si>
  <si>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</si>
  <si>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</si>
  <si>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</si>
  <si>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</si>
  <si>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</si>
  <si>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</si>
  <si>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</si>
  <si>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</si>
  <si>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</si>
  <si>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</si>
  <si>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</si>
  <si>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</si>
  <si>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</si>
  <si>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</si>
  <si>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</si>
  <si>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</si>
  <si>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</si>
  <si>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</si>
  <si>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</si>
  <si>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</si>
  <si>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</si>
  <si>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</si>
  <si>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</si>
  <si>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</si>
  <si>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</si>
  <si>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</si>
  <si>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</si>
  <si>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</si>
  <si>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</si>
  <si>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</si>
  <si>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</si>
  <si>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</si>
  <si>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</si>
  <si>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</si>
  <si>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</si>
  <si>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</si>
  <si>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</si>
  <si>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</si>
  <si>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</si>
  <si>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</si>
  <si>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</si>
  <si>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</si>
  <si>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</si>
  <si>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</si>
  <si>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</si>
  <si>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</si>
  <si>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</si>
  <si>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</si>
  <si>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</si>
  <si>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</si>
  <si>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</si>
  <si>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</si>
  <si>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</si>
  <si>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</si>
  <si>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</si>
  <si>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</si>
  <si>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</si>
  <si>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</si>
  <si>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</si>
  <si>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</si>
  <si>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</si>
  <si>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</si>
  <si>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</si>
  <si>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</si>
  <si>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</si>
  <si>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</si>
  <si>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</si>
  <si>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</si>
  <si>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</si>
  <si>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</si>
  <si>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</si>
  <si>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</si>
  <si>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</si>
  <si>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</si>
  <si>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</si>
  <si>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</si>
  <si>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</si>
  <si>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</si>
  <si>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</si>
  <si>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</si>
  <si>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</si>
  <si>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</si>
  <si>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</si>
  <si>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</si>
  <si>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</si>
  <si>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</si>
  <si>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</si>
  <si>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</si>
  <si>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</si>
  <si>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</si>
  <si>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</si>
  <si>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</si>
  <si>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</si>
  <si>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</si>
  <si>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</si>
  <si>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</si>
  <si>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</si>
  <si>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</si>
  <si>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</si>
  <si>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</si>
  <si>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</si>
  <si>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</si>
  <si>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</si>
  <si>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</si>
  <si>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</si>
  <si>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</si>
  <si>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</si>
  <si>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</si>
  <si>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</si>
  <si>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</si>
  <si>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</si>
  <si>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</si>
  <si>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</si>
  <si>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</si>
  <si>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</si>
  <si>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</si>
  <si>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</si>
  <si>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</si>
  <si>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</si>
  <si>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</si>
  <si>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</si>
  <si>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</si>
  <si>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</si>
  <si>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</si>
  <si>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</si>
  <si>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</si>
  <si>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</si>
  <si>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</si>
  <si>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</si>
  <si>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</si>
  <si>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</si>
  <si>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</si>
  <si>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</si>
  <si>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</si>
  <si>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</si>
  <si>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</si>
  <si>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</si>
  <si>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</si>
  <si>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</si>
  <si>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</si>
  <si>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</si>
  <si>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</si>
  <si>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</si>
  <si>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</si>
  <si>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</si>
  <si>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</si>
  <si>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</si>
  <si>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</si>
  <si>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</si>
  <si>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</si>
  <si>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</si>
  <si>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</si>
  <si>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</si>
  <si>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</si>
  <si>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</si>
  <si>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</si>
  <si>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</si>
  <si>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</si>
  <si>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</si>
  <si>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</si>
  <si>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</si>
  <si>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</si>
  <si>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</si>
  <si>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</si>
  <si>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</si>
  <si>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</si>
  <si>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</si>
  <si>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</si>
  <si>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</si>
  <si>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</si>
  <si>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</si>
  <si>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</si>
  <si>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</si>
  <si>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</si>
  <si>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</si>
  <si>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</si>
  <si>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</si>
  <si>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</si>
  <si>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</si>
  <si>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</si>
  <si>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</si>
  <si>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</si>
  <si>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</si>
  <si>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</si>
  <si>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</si>
  <si>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</si>
  <si>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</si>
  <si>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</si>
  <si>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</si>
  <si>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</si>
  <si>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</si>
  <si>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</si>
  <si>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</si>
  <si>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</si>
  <si>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</si>
  <si>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</si>
  <si>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</si>
  <si>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</si>
  <si>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</si>
  <si>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</si>
  <si>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</si>
  <si>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</si>
  <si>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</si>
  <si>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</si>
  <si>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</si>
  <si>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</si>
  <si>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</si>
  <si>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</si>
  <si>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</si>
  <si>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</si>
  <si>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</si>
  <si>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</si>
  <si>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</si>
  <si>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</si>
  <si>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</si>
  <si>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</si>
  <si>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</si>
  <si>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</si>
  <si>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</si>
  <si>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</si>
  <si>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</si>
  <si>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</si>
  <si>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</si>
  <si>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</si>
  <si>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</si>
  <si>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</si>
  <si>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</si>
  <si>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</si>
  <si>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</si>
  <si>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</si>
  <si>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</si>
  <si>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</si>
  <si>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</si>
  <si>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</si>
  <si>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</si>
  <si>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</si>
  <si>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</si>
  <si>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</si>
  <si>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</si>
  <si>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</si>
  <si>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</si>
  <si>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</si>
  <si>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</si>
  <si>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</si>
  <si>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</si>
  <si>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</si>
  <si>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</si>
  <si>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</si>
  <si>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</si>
  <si>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</si>
  <si>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</si>
  <si>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</si>
  <si>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</si>
  <si>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</si>
  <si>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</si>
  <si>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</si>
  <si>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</si>
  <si>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</si>
  <si>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</si>
  <si>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</si>
  <si>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</si>
  <si>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</si>
  <si>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</si>
  <si>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</si>
  <si>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</si>
  <si>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</si>
  <si>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</si>
  <si>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</si>
  <si>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</si>
  <si>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</si>
  <si>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</si>
  <si>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</si>
  <si>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</si>
  <si>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</si>
  <si>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</si>
  <si>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</si>
  <si>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</si>
  <si>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</si>
  <si>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</si>
  <si>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</si>
  <si>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</si>
  <si>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</si>
  <si>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</si>
  <si>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</si>
  <si>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</si>
  <si>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</si>
  <si>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</si>
  <si>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</si>
  <si>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</si>
  <si>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</si>
  <si>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</si>
  <si>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</si>
  <si>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</si>
  <si>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</si>
  <si>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</si>
  <si>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</si>
  <si>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</si>
  <si>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</si>
  <si>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</si>
  <si>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</si>
  <si>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</si>
  <si>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</si>
  <si>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</si>
  <si>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</si>
  <si>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</si>
  <si>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</si>
  <si>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</si>
  <si>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</si>
  <si>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</si>
  <si>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</si>
  <si>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</si>
  <si>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</si>
  <si>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</si>
  <si>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</si>
  <si>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</si>
  <si>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</si>
  <si>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</si>
  <si>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</si>
  <si>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</si>
  <si>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</si>
  <si>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</si>
  <si>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</si>
  <si>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</si>
  <si>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</si>
  <si>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</si>
  <si>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</si>
  <si>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</si>
  <si>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</si>
  <si>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</si>
  <si>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</si>
  <si>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</si>
  <si>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</si>
  <si>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</si>
  <si>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</si>
  <si>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</si>
  <si>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</si>
  <si>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</si>
  <si>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</si>
  <si>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</si>
  <si>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</si>
  <si>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</si>
  <si>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</si>
  <si>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</si>
  <si>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</si>
  <si>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</si>
  <si>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</si>
  <si>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</si>
  <si>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</si>
  <si>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</si>
  <si>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</si>
  <si>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</si>
  <si>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</si>
  <si>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</si>
  <si>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</si>
  <si>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</si>
  <si>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</si>
  <si>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</si>
  <si>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</si>
  <si>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</si>
  <si>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</si>
  <si>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</si>
  <si>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</si>
  <si>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</si>
  <si>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</si>
  <si>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</si>
  <si>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</si>
  <si>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</si>
  <si>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</si>
  <si>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</si>
  <si>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</si>
  <si>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</si>
  <si>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</si>
  <si>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</si>
  <si>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</si>
  <si>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</si>
  <si>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</si>
  <si>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</si>
  <si>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</si>
  <si>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</si>
  <si>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</si>
  <si>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</si>
  <si>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</si>
  <si>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</si>
  <si>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</si>
  <si>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</si>
  <si>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</si>
  <si>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</si>
  <si>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</si>
  <si>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</si>
  <si>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</si>
  <si>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</si>
  <si>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</si>
  <si>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</si>
  <si>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</si>
  <si>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</si>
  <si>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</si>
  <si>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</si>
  <si>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</si>
  <si>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</si>
  <si>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</si>
  <si>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</si>
  <si>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</si>
  <si>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</si>
  <si>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</si>
  <si>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</si>
  <si>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</si>
  <si>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</si>
  <si>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</si>
  <si>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</si>
  <si>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</si>
  <si>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</si>
  <si>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</si>
  <si>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</si>
  <si>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</si>
  <si>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</si>
  <si>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</si>
  <si>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</si>
  <si>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</si>
  <si>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</si>
  <si>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</si>
  <si>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</si>
  <si>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</si>
  <si>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</si>
  <si>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</si>
  <si>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</si>
  <si>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</si>
  <si>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</si>
  <si>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</si>
  <si>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</si>
  <si>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</si>
  <si>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</si>
  <si>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</si>
  <si>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</si>
  <si>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</si>
  <si>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</si>
  <si>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</si>
  <si>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</si>
  <si>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</si>
  <si>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</si>
  <si>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</si>
  <si>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</si>
  <si>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</si>
  <si>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</si>
  <si>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</si>
  <si>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</si>
  <si>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</si>
  <si>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</si>
  <si>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</si>
  <si>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</si>
  <si>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</si>
  <si>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</si>
  <si>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</si>
  <si>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</si>
  <si>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</si>
  <si>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</si>
  <si>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</si>
  <si>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</si>
  <si>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</si>
  <si>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</si>
  <si>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</si>
  <si>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</si>
  <si>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</si>
  <si>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</si>
  <si>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</si>
  <si>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</si>
  <si>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</si>
  <si>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</si>
  <si>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</si>
  <si>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</si>
  <si>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</si>
  <si>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</si>
  <si>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</si>
  <si>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</si>
  <si>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</si>
  <si>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</si>
  <si>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</si>
  <si>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</si>
  <si>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</si>
  <si>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</si>
  <si>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</si>
  <si>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</si>
  <si>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</si>
  <si>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</si>
  <si>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</si>
  <si>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</si>
  <si>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</si>
  <si>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</si>
  <si>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</si>
  <si>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</si>
  <si>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</si>
  <si>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</si>
  <si>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</si>
  <si>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</si>
  <si>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</si>
  <si>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</si>
  <si>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</si>
  <si>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</si>
  <si>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</si>
  <si>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</si>
  <si>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</si>
  <si>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</si>
  <si>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</si>
  <si>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</si>
  <si>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</si>
  <si>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</si>
  <si>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</si>
  <si>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</si>
  <si>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</si>
  <si>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</si>
  <si>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</si>
  <si>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</si>
  <si>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</si>
  <si>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</si>
  <si>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</si>
  <si>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</si>
  <si>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</si>
  <si>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</si>
  <si>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</si>
  <si>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</si>
  <si>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</si>
  <si>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</si>
  <si>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</si>
  <si>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</si>
  <si>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</si>
  <si>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</si>
  <si>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</si>
  <si>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</si>
  <si>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</si>
  <si>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</si>
  <si>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</si>
  <si>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</si>
  <si>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</si>
  <si>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</si>
  <si>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</si>
  <si>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</si>
  <si>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</si>
  <si>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</si>
  <si>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</si>
  <si>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</si>
  <si>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</si>
  <si>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</si>
  <si>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</si>
  <si>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</si>
  <si>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</si>
  <si>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</si>
  <si>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</si>
  <si>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</si>
  <si>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</si>
  <si>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</si>
  <si>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</si>
  <si>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</si>
  <si>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</si>
  <si>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</si>
  <si>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</si>
  <si>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</si>
  <si>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</si>
  <si>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</si>
  <si>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</si>
  <si>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</si>
  <si>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</si>
  <si>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</si>
  <si>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</si>
  <si>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</si>
  <si>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</si>
  <si>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</si>
  <si>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</si>
  <si>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</si>
  <si>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</si>
  <si>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</si>
  <si>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</si>
  <si>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</si>
  <si>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</si>
  <si>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</si>
  <si>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</si>
  <si>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</si>
  <si>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</si>
  <si>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</si>
  <si>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</si>
  <si>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</si>
  <si>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</si>
  <si>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</si>
  <si>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</si>
  <si>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</si>
  <si>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</si>
  <si>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</si>
  <si>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</si>
  <si>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</si>
  <si>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</si>
  <si>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</si>
  <si>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</si>
  <si>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</si>
  <si>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</si>
  <si>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</si>
  <si>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</si>
  <si>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</si>
  <si>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</si>
  <si>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</si>
  <si>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</si>
  <si>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</si>
  <si>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</si>
  <si>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</si>
  <si>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</si>
  <si>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</si>
  <si>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</si>
  <si>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</si>
  <si>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</si>
  <si>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</si>
  <si>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</si>
  <si>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</si>
  <si>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</si>
  <si>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</si>
  <si>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</si>
  <si>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</si>
  <si>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</si>
  <si>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</si>
  <si>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</si>
  <si>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</si>
  <si>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</si>
  <si>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</si>
  <si>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</si>
  <si>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</si>
  <si>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</si>
  <si>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</si>
  <si>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</si>
  <si>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</si>
  <si>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</si>
  <si>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</si>
  <si>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</si>
  <si>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</si>
  <si>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</si>
  <si>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</si>
  <si>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</si>
  <si>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</si>
  <si>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</si>
  <si>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</si>
  <si>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</si>
  <si>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</si>
  <si>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</si>
  <si>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</si>
  <si>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</si>
  <si>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</si>
  <si>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</si>
  <si>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</si>
  <si>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</si>
  <si>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</si>
  <si>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</si>
  <si>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</si>
  <si>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</si>
  <si>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</si>
  <si>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</si>
  <si>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</si>
  <si>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</si>
  <si>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</si>
  <si>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</si>
  <si>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</si>
  <si>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</si>
  <si>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</si>
  <si>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</si>
  <si>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</si>
  <si>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</si>
  <si>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</si>
  <si>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</si>
  <si>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</si>
  <si>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</si>
  <si>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</si>
  <si>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</si>
  <si>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</si>
  <si>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</si>
  <si>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</si>
  <si>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</si>
  <si>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</si>
  <si>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</si>
  <si>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</si>
  <si>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</si>
  <si>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</si>
  <si>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</si>
  <si>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</si>
  <si>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</si>
  <si>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</si>
  <si>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</si>
  <si>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</si>
  <si>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</si>
  <si>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</si>
  <si>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</si>
  <si>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</si>
  <si>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</si>
  <si>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</si>
  <si>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</si>
  <si>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</si>
  <si>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</si>
  <si>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</si>
  <si>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</si>
  <si>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</si>
  <si>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</si>
  <si>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</si>
  <si>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</si>
  <si>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</si>
  <si>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</si>
  <si>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</si>
  <si>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</si>
  <si>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</si>
  <si>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</si>
  <si>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</si>
  <si>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</si>
  <si>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</si>
  <si>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</si>
  <si>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</si>
  <si>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</si>
  <si>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</si>
  <si>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</si>
  <si>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</si>
  <si>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</si>
  <si>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</si>
  <si>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</si>
  <si>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</si>
  <si>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</si>
  <si>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</si>
  <si>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</si>
  <si>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</si>
  <si>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</si>
  <si>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</si>
  <si>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</si>
  <si>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</si>
  <si>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</si>
  <si>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</si>
  <si>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</si>
  <si>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</si>
  <si>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</si>
  <si>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</si>
  <si>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</si>
  <si>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</si>
  <si>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</si>
  <si>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</si>
  <si>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</si>
  <si>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</si>
  <si>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</si>
  <si>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</si>
  <si>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</si>
  <si>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</si>
  <si>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</si>
  <si>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</si>
  <si>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</si>
  <si>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</si>
  <si>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</si>
  <si>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</si>
  <si>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</si>
  <si>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</si>
  <si>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</si>
  <si>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</si>
  <si>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</si>
  <si>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</si>
  <si>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</si>
  <si>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</si>
  <si>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</si>
  <si>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</si>
  <si>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</si>
  <si>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</si>
  <si>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</si>
  <si>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</si>
  <si>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</si>
  <si>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</si>
  <si>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</si>
  <si>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</si>
  <si>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</si>
  <si>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</si>
  <si>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</si>
  <si>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</si>
  <si>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</si>
  <si>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</si>
  <si>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</si>
  <si>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</si>
  <si>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</si>
  <si>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</si>
  <si>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</si>
  <si>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</si>
  <si>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</si>
  <si>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</si>
  <si>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</si>
  <si>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</si>
  <si>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</si>
  <si>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</si>
  <si>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</si>
  <si>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</si>
  <si>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</si>
  <si>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</si>
  <si>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</si>
  <si>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</si>
  <si>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</si>
  <si>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</si>
  <si>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</si>
  <si>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</si>
  <si>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</si>
  <si>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</si>
  <si>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</si>
  <si>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</si>
  <si>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</si>
  <si>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</si>
  <si>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</si>
  <si>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</si>
  <si>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</si>
  <si>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</si>
  <si>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</si>
  <si>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</si>
  <si>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</si>
  <si>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</si>
  <si>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</si>
  <si>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</si>
  <si>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</si>
  <si>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</si>
  <si>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</si>
  <si>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</si>
  <si>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</si>
  <si>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</si>
  <si>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</si>
  <si>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</si>
  <si>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</si>
  <si>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</si>
  <si>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</si>
  <si>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</si>
  <si>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</si>
  <si>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</si>
  <si>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</si>
  <si>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</si>
  <si>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</si>
  <si>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</si>
  <si>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</si>
  <si>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</si>
  <si>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</si>
  <si>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</si>
  <si>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</si>
  <si>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</si>
  <si>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</si>
  <si>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</si>
  <si>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</si>
  <si>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</si>
  <si>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</si>
  <si>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</si>
  <si>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</si>
  <si>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</si>
  <si>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</si>
  <si>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</si>
  <si>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</si>
  <si>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</si>
  <si>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</si>
  <si>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</si>
  <si>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</si>
  <si>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</si>
  <si>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</si>
  <si>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</si>
  <si>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</si>
  <si>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</si>
  <si>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</si>
  <si>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</si>
  <si>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</si>
  <si>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</si>
  <si>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</si>
  <si>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</si>
  <si>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</si>
  <si>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</si>
  <si>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</si>
  <si>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</si>
  <si>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</si>
  <si>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</si>
  <si>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</si>
  <si>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</si>
  <si>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</si>
  <si>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</si>
  <si>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</si>
  <si>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</si>
  <si>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</si>
  <si>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</si>
  <si>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</si>
  <si>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</si>
  <si>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</si>
  <si>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</si>
  <si>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</si>
  <si>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</si>
  <si>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</si>
  <si>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</si>
  <si>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</si>
  <si>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</si>
  <si>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</si>
  <si>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</si>
  <si>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</si>
  <si>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</si>
  <si>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</si>
  <si>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</si>
  <si>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</si>
  <si>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</si>
  <si>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</si>
  <si>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</si>
  <si>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</si>
  <si>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</si>
  <si>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</si>
  <si>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</si>
  <si>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</si>
  <si>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</si>
  <si>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</si>
  <si>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</si>
  <si>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</si>
  <si>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</si>
  <si>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</si>
  <si>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</si>
  <si>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</si>
  <si>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</si>
  <si>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</si>
  <si>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</si>
  <si>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</si>
  <si>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</si>
  <si>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</si>
  <si>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</si>
  <si>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</si>
  <si>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</si>
  <si>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</si>
  <si>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</si>
  <si>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</si>
  <si>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</si>
  <si>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</si>
  <si>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</si>
  <si>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</si>
  <si>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</si>
  <si>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</si>
  <si>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</si>
  <si>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</si>
  <si>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</si>
  <si>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</si>
  <si>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</si>
  <si>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</si>
  <si>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</si>
  <si>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</si>
  <si>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</si>
  <si>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</si>
  <si>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</si>
  <si>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</si>
  <si>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</si>
  <si>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</si>
  <si>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</si>
  <si>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</si>
  <si>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</si>
  <si>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</si>
  <si>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</si>
  <si>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</si>
  <si>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</si>
  <si>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</si>
  <si>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</si>
  <si>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</si>
  <si>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</si>
  <si>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</si>
  <si>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</si>
  <si>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</si>
  <si>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</si>
  <si>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</si>
  <si>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</si>
  <si>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</si>
  <si>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</si>
  <si>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</si>
  <si>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</si>
  <si>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</si>
  <si>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</si>
  <si>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</si>
  <si>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</si>
  <si>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</si>
  <si>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</si>
  <si>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</si>
  <si>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</si>
  <si>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</si>
  <si>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</si>
  <si>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</si>
  <si>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</si>
  <si>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</si>
  <si>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</si>
  <si>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</si>
  <si>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</si>
  <si>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</si>
  <si>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</si>
  <si>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</si>
  <si>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</si>
  <si>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</si>
  <si>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</si>
  <si>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</si>
  <si>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</si>
  <si>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</si>
  <si>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</si>
  <si>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</si>
  <si>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</si>
  <si>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</si>
  <si>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</si>
  <si>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</si>
  <si>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</si>
  <si>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</si>
  <si>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</si>
  <si>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</si>
  <si>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</si>
  <si>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</si>
  <si>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</si>
  <si>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</si>
  <si>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</si>
  <si>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</si>
  <si>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</si>
  <si>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</si>
  <si>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</si>
  <si>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</si>
  <si>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</si>
  <si>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</si>
  <si>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</si>
  <si>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</si>
  <si>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</si>
  <si>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</si>
  <si>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</si>
  <si>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</si>
  <si>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</si>
  <si>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</si>
  <si>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</si>
  <si>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</si>
  <si>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</si>
  <si>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</si>
  <si>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</si>
  <si>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</si>
  <si>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</si>
  <si>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</si>
  <si>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</si>
  <si>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</si>
  <si>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</si>
  <si>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</si>
  <si>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</si>
  <si>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</si>
  <si>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</si>
  <si>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</si>
  <si>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</si>
  <si>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</si>
  <si>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</si>
  <si>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</si>
  <si>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</si>
  <si>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</si>
  <si>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</si>
  <si>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</si>
  <si>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</si>
  <si>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</si>
  <si>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</si>
  <si>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</si>
  <si>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</si>
  <si>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</si>
  <si>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</si>
  <si>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</si>
  <si>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</si>
  <si>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</si>
  <si>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</si>
  <si>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</si>
  <si>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</si>
  <si>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</si>
  <si>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</si>
  <si>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</si>
  <si>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</si>
  <si>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</si>
  <si>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</si>
  <si>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</si>
  <si>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</si>
  <si>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</si>
  <si>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</si>
  <si>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</si>
  <si>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</si>
  <si>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</si>
  <si>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</si>
  <si>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</si>
  <si>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</si>
  <si>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</si>
  <si>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</si>
  <si>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</si>
  <si>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</si>
  <si>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</si>
  <si>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</si>
  <si>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</si>
  <si>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</si>
  <si>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</si>
  <si>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</si>
  <si>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</si>
  <si>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</si>
  <si>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</si>
  <si>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</si>
  <si>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</si>
  <si>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</si>
  <si>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</si>
  <si>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</si>
  <si>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</si>
  <si>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</si>
  <si>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</si>
  <si>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</si>
  <si>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</si>
  <si>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</si>
  <si>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</si>
  <si>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</si>
  <si>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</si>
  <si>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</si>
  <si>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</si>
  <si>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</si>
  <si>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</si>
  <si>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</si>
  <si>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</si>
  <si>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</si>
  <si>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</si>
  <si>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</si>
  <si>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</si>
  <si>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</si>
  <si>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</si>
  <si>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</si>
  <si>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</si>
  <si>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</si>
  <si>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</si>
  <si>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</si>
  <si>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</si>
  <si>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</si>
  <si>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</si>
  <si>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</si>
  <si>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</si>
  <si>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</si>
  <si>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</si>
  <si>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</si>
  <si>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</si>
  <si>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</si>
  <si>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</si>
  <si>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</si>
  <si>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</si>
  <si>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</si>
  <si>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</si>
  <si>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</si>
  <si>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</si>
  <si>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</si>
  <si>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</si>
  <si>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</si>
  <si>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</si>
  <si>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</si>
  <si>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</si>
  <si>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</si>
  <si>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</si>
  <si>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</si>
  <si>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</si>
  <si>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</si>
  <si>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</si>
  <si>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</si>
  <si>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</si>
  <si>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</si>
  <si>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</si>
  <si>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</si>
  <si>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</si>
  <si>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</si>
  <si>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</si>
  <si>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</si>
  <si>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</si>
  <si>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</si>
  <si>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</si>
  <si>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</si>
  <si>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</si>
  <si>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</si>
  <si>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</si>
  <si>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</si>
  <si>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</si>
  <si>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</si>
  <si>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</si>
  <si>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</si>
  <si>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</si>
  <si>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</si>
  <si>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</si>
  <si>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</si>
  <si>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</si>
  <si>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</si>
  <si>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</si>
  <si>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</si>
  <si>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</si>
  <si>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</si>
  <si>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</si>
  <si>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</si>
  <si>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</si>
  <si>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</si>
  <si>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</si>
  <si>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</si>
  <si>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</si>
  <si>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</si>
  <si>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</si>
  <si>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</si>
  <si>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</si>
  <si>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</si>
  <si>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</si>
  <si>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</si>
  <si>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</si>
  <si>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</si>
  <si>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</si>
  <si>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</si>
  <si>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</si>
  <si>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</si>
  <si>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</si>
  <si>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</si>
  <si>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</si>
  <si>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</si>
  <si>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</si>
  <si>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</si>
  <si>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</si>
  <si>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</si>
  <si>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</si>
  <si>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</si>
  <si>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</si>
  <si>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</si>
  <si>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</si>
  <si>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</si>
  <si>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</si>
  <si>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</si>
  <si>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</si>
  <si>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</si>
  <si>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</si>
  <si>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</si>
  <si>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</si>
  <si>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</si>
  <si>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</si>
  <si>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</si>
  <si>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</si>
  <si>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</si>
  <si>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</si>
  <si>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</si>
  <si>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</si>
  <si>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</si>
  <si>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</si>
  <si>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</si>
  <si>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</si>
  <si>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</si>
  <si>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</si>
  <si>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</si>
  <si>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</si>
  <si>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</si>
  <si>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</si>
  <si>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</si>
  <si>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</si>
  <si>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</si>
  <si>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</si>
  <si>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</si>
  <si>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</si>
  <si>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</si>
  <si>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</si>
  <si>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</si>
  <si>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</si>
  <si>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</si>
  <si>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</si>
  <si>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</si>
  <si>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</si>
  <si>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</si>
  <si>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</si>
  <si>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</si>
  <si>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</si>
  <si>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</si>
  <si>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</si>
  <si>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</si>
  <si>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</si>
  <si>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</si>
  <si>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</si>
  <si>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</si>
  <si>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</si>
  <si>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</si>
  <si>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</si>
  <si>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</si>
  <si>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</si>
  <si>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</si>
  <si>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</si>
  <si>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</si>
  <si>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</si>
  <si>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</si>
  <si>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</si>
  <si>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</si>
  <si>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</si>
  <si>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</si>
  <si>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</si>
  <si>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</si>
  <si>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</si>
  <si>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</si>
  <si>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</si>
  <si>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</si>
  <si>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</si>
  <si>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</si>
  <si>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</si>
  <si>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</si>
  <si>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</si>
  <si>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</si>
  <si>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</si>
  <si>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</si>
  <si>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</si>
  <si>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</si>
  <si>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</si>
  <si>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</si>
  <si>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</si>
  <si>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</si>
  <si>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</si>
  <si>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</si>
  <si>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</si>
  <si>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</si>
  <si>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</si>
  <si>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</si>
  <si>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</si>
  <si>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</si>
  <si>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</si>
  <si>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</si>
  <si>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</si>
  <si>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</si>
  <si>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</si>
  <si>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</si>
  <si>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</si>
  <si>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</si>
  <si>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</si>
  <si>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</si>
  <si>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</si>
  <si>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</si>
  <si>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</si>
  <si>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</si>
  <si>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</si>
  <si>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</si>
  <si>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</si>
  <si>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</si>
  <si>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</si>
  <si>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</si>
  <si>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</si>
  <si>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</si>
  <si>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</si>
  <si>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</si>
  <si>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</si>
  <si>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</si>
  <si>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</si>
  <si>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</si>
  <si>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</si>
  <si>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</si>
  <si>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</si>
  <si>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</si>
  <si>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</si>
  <si>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</si>
  <si>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</si>
  <si>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</si>
  <si>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</si>
  <si>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</si>
  <si>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</si>
  <si>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</si>
  <si>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</si>
  <si>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</si>
  <si>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</si>
  <si>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</si>
  <si>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</si>
  <si>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</si>
  <si>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</si>
  <si>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</si>
  <si>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</si>
  <si>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</si>
  <si>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</si>
  <si>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</si>
  <si>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</si>
  <si>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</si>
  <si>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</si>
  <si>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</si>
  <si>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</si>
  <si>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</si>
  <si>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</si>
  <si>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</si>
  <si>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</si>
  <si>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</si>
  <si>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</si>
  <si>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</si>
  <si>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</si>
  <si>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</si>
  <si>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</si>
  <si>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</si>
  <si>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</si>
  <si>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</si>
  <si>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</si>
  <si>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</si>
  <si>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</si>
  <si>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</si>
  <si>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</si>
  <si>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</si>
  <si>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</si>
  <si>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</si>
  <si>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</si>
  <si>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</si>
  <si>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</si>
  <si>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</si>
  <si>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</si>
  <si>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</si>
  <si>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</si>
  <si>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</si>
  <si>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</si>
  <si>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</si>
  <si>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</si>
  <si>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</si>
  <si>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</si>
  <si>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</si>
  <si>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</si>
  <si>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</si>
  <si>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</si>
  <si>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</si>
  <si>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</si>
  <si>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</si>
  <si>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</si>
  <si>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</si>
  <si>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</si>
  <si>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</si>
  <si>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</si>
  <si>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</si>
  <si>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</si>
  <si>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</si>
  <si>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</si>
  <si>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</si>
  <si>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</si>
  <si>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</si>
  <si>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</si>
  <si>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</si>
  <si>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</si>
  <si>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</si>
  <si>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</si>
  <si>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</si>
  <si>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</si>
  <si>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</si>
  <si>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</si>
  <si>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</si>
  <si>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</si>
  <si>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</si>
  <si>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</si>
  <si>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</si>
  <si>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</si>
  <si>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</si>
  <si>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</si>
  <si>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</si>
  <si>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</si>
  <si>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</si>
  <si>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</si>
  <si>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</si>
  <si>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</si>
  <si>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</si>
  <si>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</si>
  <si>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</si>
  <si>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</si>
  <si>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</si>
  <si>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</si>
  <si>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</si>
  <si>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</si>
  <si>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</si>
  <si>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</si>
  <si>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</si>
  <si>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</si>
  <si>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</si>
  <si>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</si>
  <si>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</si>
  <si>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</si>
  <si>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</si>
  <si>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</si>
  <si>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</si>
  <si>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</si>
  <si>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</si>
  <si>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</si>
  <si>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</si>
  <si>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</si>
  <si>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</si>
  <si>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</si>
  <si>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</si>
  <si>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</si>
  <si>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</si>
  <si>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</si>
  <si>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</si>
  <si>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</si>
  <si>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</si>
  <si>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</si>
  <si>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</si>
  <si>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</si>
  <si>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</si>
  <si>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</si>
  <si>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</si>
  <si>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</si>
  <si>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</si>
  <si>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</si>
  <si>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</si>
  <si>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</si>
  <si>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</si>
  <si>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</si>
  <si>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</si>
  <si>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</si>
  <si>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</si>
  <si>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</si>
  <si>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</si>
  <si>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</si>
  <si>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</si>
  <si>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</si>
  <si>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</si>
  <si>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</si>
  <si>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</si>
  <si>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</si>
  <si>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</si>
  <si>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</si>
  <si>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</si>
  <si>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</si>
  <si>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</si>
  <si>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</si>
  <si>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</si>
  <si>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</si>
  <si>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</si>
  <si>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</si>
  <si>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</si>
  <si>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</si>
  <si>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</si>
  <si>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</si>
  <si>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</si>
  <si>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</si>
  <si>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</si>
  <si>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</si>
  <si>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</si>
  <si>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</si>
  <si>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</si>
  <si>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</si>
  <si>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</si>
  <si>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</si>
  <si>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</si>
  <si>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</si>
  <si>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</si>
  <si>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</si>
  <si>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</si>
  <si>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</si>
  <si>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</si>
  <si>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</si>
  <si>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</si>
  <si>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</si>
  <si>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</si>
  <si>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</si>
  <si>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</si>
  <si>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</si>
  <si>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</si>
  <si>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</si>
  <si>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</si>
  <si>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</si>
  <si>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</si>
  <si>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</si>
  <si>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</si>
  <si>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</si>
  <si>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</si>
  <si>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</si>
  <si>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</si>
  <si>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</si>
  <si>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</si>
  <si>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</si>
  <si>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</si>
  <si>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</si>
  <si>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</si>
  <si>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</si>
  <si>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</si>
  <si>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</si>
  <si>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</si>
  <si>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</si>
  <si>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</si>
  <si>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</si>
  <si>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</si>
  <si>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</si>
  <si>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</si>
  <si>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</si>
  <si>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</si>
  <si>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</si>
  <si>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</si>
  <si>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</si>
  <si>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</si>
  <si>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</si>
  <si>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</si>
  <si>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</si>
  <si>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</si>
  <si>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</si>
  <si>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</si>
  <si>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</si>
  <si>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</si>
  <si>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</si>
  <si>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</si>
  <si>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</si>
  <si>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</si>
  <si>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</si>
  <si>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</si>
  <si>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</si>
  <si>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</si>
  <si>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</si>
  <si>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</si>
  <si>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</si>
  <si>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</si>
  <si>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</si>
  <si>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</si>
  <si>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</si>
  <si>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</si>
  <si>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</si>
  <si>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</si>
  <si>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</si>
  <si>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</si>
  <si>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</si>
  <si>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</si>
  <si>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</si>
  <si>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</si>
  <si>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</si>
  <si>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</si>
  <si>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</si>
  <si>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</si>
  <si>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</si>
  <si>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</si>
  <si>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</si>
  <si>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</si>
  <si>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</si>
  <si>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</si>
  <si>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</si>
  <si>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</si>
  <si>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</si>
  <si>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</si>
  <si>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</si>
  <si>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</si>
  <si>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</si>
  <si>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</si>
  <si>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</si>
  <si>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</si>
  <si>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</si>
  <si>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</si>
  <si>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</si>
  <si>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</si>
  <si>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</si>
  <si>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</si>
  <si>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</si>
  <si>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</si>
  <si>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</si>
  <si>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</si>
  <si>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</si>
  <si>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</si>
  <si>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</si>
  <si>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</si>
  <si>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</si>
  <si>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</si>
  <si>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</si>
  <si>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</si>
  <si>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</si>
  <si>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</si>
  <si>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</si>
  <si>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</si>
  <si>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</si>
  <si>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</si>
  <si>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</si>
  <si>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</si>
  <si>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</si>
  <si>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</si>
  <si>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</si>
  <si>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</si>
  <si>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</si>
  <si>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</si>
  <si>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</si>
  <si>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</si>
  <si>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</si>
  <si>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</si>
  <si>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</si>
  <si>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</si>
  <si>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</si>
  <si>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</si>
  <si>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</si>
  <si>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</si>
  <si>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</si>
  <si>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</si>
  <si>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</si>
  <si>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</si>
  <si>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</si>
  <si>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</si>
  <si>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</si>
  <si>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</si>
  <si>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</si>
  <si>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</si>
  <si>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</si>
  <si>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</si>
  <si>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</si>
  <si>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</si>
  <si>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</si>
  <si>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</si>
  <si>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</si>
  <si>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</si>
  <si>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</si>
  <si>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</si>
  <si>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</si>
  <si>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</si>
  <si>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</si>
  <si>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</si>
  <si>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</si>
  <si>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</si>
  <si>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</si>
  <si>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</si>
  <si>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</si>
  <si>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</si>
  <si>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</si>
  <si>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</si>
  <si>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</si>
  <si>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</si>
  <si>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</si>
  <si>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</si>
  <si>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</si>
  <si>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</si>
  <si>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</si>
  <si>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</si>
  <si>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</si>
  <si>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</si>
  <si>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</si>
  <si>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</si>
  <si>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</si>
  <si>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</si>
  <si>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</si>
  <si>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</si>
  <si>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</si>
  <si>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</si>
  <si>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</si>
  <si>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</si>
  <si>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</si>
  <si>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</si>
  <si>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</si>
  <si>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</si>
  <si>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</si>
  <si>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</si>
  <si>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</si>
  <si>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</si>
  <si>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</si>
  <si>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</si>
  <si>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</si>
  <si>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</si>
  <si>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</si>
  <si>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</si>
  <si>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</si>
  <si>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</si>
  <si>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</si>
  <si>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</si>
  <si>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</si>
  <si>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</si>
  <si>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</si>
  <si>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</si>
  <si>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</si>
  <si>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</si>
  <si>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</si>
  <si>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</si>
  <si>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</si>
  <si>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</si>
  <si>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</si>
  <si>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</si>
  <si>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</si>
  <si>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</si>
  <si>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</si>
  <si>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</si>
  <si>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</si>
  <si>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</si>
  <si>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</si>
  <si>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</si>
  <si>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</si>
  <si>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</si>
  <si>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</si>
  <si>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</si>
  <si>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</si>
  <si>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</si>
  <si>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</si>
  <si>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</si>
  <si>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</si>
  <si>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</si>
  <si>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</si>
  <si>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</si>
  <si>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</si>
  <si>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</si>
  <si>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</si>
  <si>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</si>
  <si>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</si>
  <si>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</si>
  <si>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</si>
  <si>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</si>
  <si>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</si>
  <si>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</si>
  <si>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</si>
  <si>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</si>
  <si>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</si>
  <si>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</si>
  <si>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</si>
  <si>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</si>
  <si>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</si>
  <si>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</si>
  <si>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</si>
  <si>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</si>
  <si>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</si>
  <si>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</si>
  <si>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</si>
  <si>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</si>
  <si>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</si>
  <si>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</si>
  <si>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</si>
  <si>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</si>
  <si>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</si>
  <si>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</si>
  <si>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</si>
  <si>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</si>
  <si>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</si>
  <si>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</si>
  <si>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</si>
  <si>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</si>
  <si>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</si>
  <si>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</si>
  <si>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</si>
  <si>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</si>
  <si>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</si>
  <si>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</si>
  <si>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</si>
  <si>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</si>
  <si>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</si>
  <si>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</si>
  <si>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</si>
  <si>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</si>
  <si>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</si>
  <si>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</si>
  <si>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</si>
  <si>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</si>
  <si>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</si>
  <si>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</si>
  <si>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</si>
  <si>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</si>
  <si>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</si>
  <si>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</si>
  <si>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</si>
  <si>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</si>
  <si>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</si>
  <si>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</si>
  <si>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</si>
  <si>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</si>
  <si>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</si>
  <si>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</si>
  <si>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</si>
  <si>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</si>
  <si>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</si>
  <si>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</si>
  <si>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</si>
  <si>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</si>
  <si>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</si>
  <si>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</si>
  <si>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</si>
  <si>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</si>
  <si>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</si>
  <si>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</si>
  <si>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</si>
  <si>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</si>
  <si>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</si>
  <si>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</si>
  <si>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</si>
  <si>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</si>
  <si>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</si>
  <si>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</si>
  <si>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</si>
  <si>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</si>
  <si>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</si>
  <si>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</si>
  <si>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</si>
  <si>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</si>
  <si>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</si>
  <si>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</si>
  <si>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</si>
  <si>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</si>
  <si>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</si>
  <si>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</si>
  <si>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</si>
  <si>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</si>
  <si>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</si>
  <si>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</si>
  <si>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</si>
  <si>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</si>
  <si>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</si>
  <si>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</si>
  <si>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</si>
  <si>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</si>
  <si>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</si>
  <si>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</si>
  <si>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</si>
  <si>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</si>
  <si>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</si>
  <si>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</si>
  <si>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</si>
  <si>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</si>
  <si>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</si>
  <si>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</si>
  <si>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</si>
  <si>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</si>
  <si>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</si>
  <si>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</si>
  <si>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</si>
  <si>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</si>
  <si>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</si>
  <si>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</si>
  <si>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</si>
  <si>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</si>
  <si>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</si>
  <si>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</si>
  <si>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</si>
  <si>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</si>
  <si>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</si>
  <si>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</si>
  <si>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</si>
  <si>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</si>
  <si>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</si>
  <si>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</si>
  <si>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</si>
  <si>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</si>
  <si>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</si>
  <si>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</si>
  <si>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</si>
  <si>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</si>
  <si>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</si>
  <si>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</si>
  <si>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</si>
  <si>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</si>
  <si>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</si>
  <si>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</si>
  <si>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</si>
  <si>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</si>
  <si>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</si>
  <si>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</si>
  <si>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</si>
  <si>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</si>
  <si>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</si>
  <si>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</si>
  <si>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</si>
  <si>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</si>
  <si>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</si>
  <si>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</si>
  <si>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</si>
  <si>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</si>
  <si>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</si>
  <si>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</si>
  <si>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</si>
  <si>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</si>
  <si>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</si>
  <si>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</si>
  <si>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</si>
  <si>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</si>
  <si>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</si>
  <si>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</si>
  <si>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</si>
  <si>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</si>
  <si>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</si>
  <si>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</si>
  <si>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</si>
  <si>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</si>
  <si>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</si>
  <si>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</si>
  <si>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</si>
  <si>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</si>
  <si>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</si>
  <si>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</si>
  <si>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</si>
  <si>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</si>
  <si>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</si>
  <si>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</si>
  <si>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</si>
  <si>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</si>
  <si>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</si>
  <si>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</si>
  <si>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</si>
  <si>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</si>
  <si>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</si>
  <si>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</si>
  <si>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</si>
  <si>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</si>
  <si>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</si>
  <si>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</si>
  <si>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</si>
  <si>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</si>
  <si>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</si>
  <si>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</si>
  <si>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</si>
  <si>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</si>
  <si>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</si>
  <si>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</si>
  <si>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</si>
  <si>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</si>
  <si>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</si>
  <si>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</si>
  <si>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</si>
  <si>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</si>
  <si>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</si>
  <si>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</si>
  <si>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</si>
  <si>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</si>
  <si>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</si>
  <si>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</si>
  <si>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</si>
  <si>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</si>
  <si>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</si>
  <si>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</si>
  <si>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</si>
  <si>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</si>
  <si>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</si>
  <si>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</si>
  <si>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</si>
  <si>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</si>
  <si>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</si>
  <si>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</si>
  <si>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</si>
  <si>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</si>
  <si>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</si>
  <si>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</si>
  <si>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</si>
  <si>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</si>
  <si>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</si>
  <si>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</si>
  <si>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</si>
  <si>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</si>
  <si>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</si>
  <si>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</si>
  <si>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</si>
  <si>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</si>
  <si>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</si>
  <si>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</si>
  <si>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</si>
  <si>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</si>
  <si>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</si>
  <si>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</si>
  <si>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</si>
  <si>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</si>
  <si>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</si>
  <si>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</si>
  <si>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</si>
  <si>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</si>
  <si>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</si>
  <si>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</si>
  <si>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</si>
  <si>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</si>
  <si>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</si>
  <si>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</si>
  <si>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</si>
  <si>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</si>
  <si>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</si>
  <si>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</si>
  <si>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</si>
  <si>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</si>
  <si>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</si>
  <si>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</si>
  <si>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</si>
  <si>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</si>
  <si>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</si>
  <si>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</si>
  <si>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</si>
  <si>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</si>
  <si>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</si>
  <si>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</si>
  <si>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</si>
  <si>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</si>
  <si>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</si>
  <si>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</si>
  <si>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</si>
  <si>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</si>
  <si>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</si>
  <si>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</si>
  <si>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</si>
  <si>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</si>
  <si>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</si>
  <si>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</si>
  <si>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</si>
  <si>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</si>
  <si>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</si>
  <si>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</si>
  <si>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</si>
  <si>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</si>
  <si>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</si>
  <si>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</si>
  <si>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</si>
  <si>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</si>
  <si>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</si>
  <si>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</si>
  <si>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</si>
  <si>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</si>
  <si>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</si>
  <si>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</si>
  <si>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</si>
  <si>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</si>
  <si>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</si>
  <si>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</si>
  <si>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</si>
  <si>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</si>
  <si>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</si>
  <si>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</si>
  <si>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</si>
  <si>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</si>
  <si>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</si>
  <si>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</si>
  <si>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</si>
  <si>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</si>
  <si>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</si>
  <si>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</si>
  <si>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</si>
  <si>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</si>
  <si>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</si>
  <si>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</si>
  <si>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</si>
  <si>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</si>
  <si>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</si>
  <si>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</si>
  <si>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</si>
  <si>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</si>
  <si>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</si>
  <si>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</si>
  <si>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</si>
  <si>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</si>
  <si>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</si>
  <si>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</si>
  <si>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</si>
  <si>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</si>
  <si>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</si>
  <si>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</si>
  <si>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</si>
  <si>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</si>
  <si>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</si>
  <si>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</si>
  <si>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</si>
  <si>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</si>
  <si>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</si>
  <si>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</si>
  <si>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</si>
  <si>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</si>
  <si>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</si>
  <si>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</si>
  <si>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</si>
  <si>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</si>
  <si>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</si>
  <si>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</si>
  <si>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</si>
  <si>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</si>
  <si>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</si>
  <si>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</si>
  <si>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</si>
  <si>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</si>
  <si>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</si>
  <si>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</si>
  <si>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</si>
  <si>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</si>
  <si>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</si>
  <si>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</si>
  <si>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</si>
  <si>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</si>
  <si>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</si>
  <si>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</si>
  <si>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</si>
  <si>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</si>
  <si>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</si>
  <si>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</si>
  <si>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</si>
  <si>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</si>
  <si>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</si>
  <si>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</si>
  <si>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</si>
  <si>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</si>
  <si>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</si>
  <si>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</si>
  <si>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</si>
  <si>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</si>
  <si>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</si>
  <si>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</si>
  <si>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</si>
  <si>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</si>
  <si>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</si>
  <si>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</si>
  <si>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</si>
  <si>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</si>
  <si>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</si>
  <si>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</si>
  <si>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</si>
  <si>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</si>
  <si>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</si>
  <si>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</si>
  <si>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</si>
  <si>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</si>
  <si>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</si>
  <si>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</si>
  <si>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</si>
  <si>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</si>
  <si>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</si>
  <si>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</si>
  <si>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</si>
  <si>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</si>
  <si>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</si>
  <si>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</si>
  <si>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</si>
  <si>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</si>
  <si>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</si>
  <si>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</si>
  <si>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</si>
  <si>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</si>
  <si>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</si>
  <si>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</si>
  <si>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</si>
  <si>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</si>
  <si>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</si>
  <si>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</si>
  <si>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</si>
  <si>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</si>
  <si>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</si>
  <si>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</si>
  <si>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</si>
  <si>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</si>
  <si>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</si>
  <si>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</si>
  <si>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</si>
  <si>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</si>
  <si>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</si>
  <si>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</si>
  <si>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</si>
  <si>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</si>
  <si>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</si>
  <si>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</si>
  <si>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</si>
  <si>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</si>
  <si>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</si>
  <si>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</si>
  <si>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</si>
  <si>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</si>
  <si>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</si>
  <si>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</si>
  <si>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</si>
  <si>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</si>
  <si>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</si>
  <si>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</si>
  <si>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</si>
  <si>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</si>
  <si>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</si>
  <si>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</si>
  <si>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</si>
  <si>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</si>
  <si>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</si>
  <si>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</si>
  <si>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</si>
  <si>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</si>
  <si>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</si>
  <si>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</si>
  <si>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</si>
  <si>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</si>
  <si>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</si>
  <si>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</si>
  <si>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</si>
  <si>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</si>
  <si>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</si>
  <si>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</si>
  <si>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</si>
  <si>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</si>
  <si>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</si>
  <si>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</si>
  <si>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</si>
  <si>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</si>
  <si>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</si>
  <si>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</si>
  <si>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</si>
  <si>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</si>
  <si>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</si>
  <si>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</si>
  <si>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</si>
  <si>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</si>
  <si>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</si>
  <si>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</si>
  <si>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</si>
  <si>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</si>
  <si>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</si>
  <si>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</si>
  <si>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</si>
  <si>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</si>
  <si>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</si>
  <si>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</si>
  <si>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</si>
  <si>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</si>
  <si>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</si>
  <si>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</si>
  <si>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</si>
  <si>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</si>
  <si>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</si>
  <si>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</si>
  <si>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</si>
  <si>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</si>
  <si>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</si>
  <si>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</si>
  <si>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</si>
  <si>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</si>
  <si>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</si>
  <si>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</si>
  <si>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</si>
  <si>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</si>
  <si>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</si>
  <si>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</si>
  <si>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</si>
  <si>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</si>
  <si>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</si>
  <si>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</si>
  <si>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</si>
  <si>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</si>
  <si>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</si>
  <si>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</si>
  <si>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</si>
  <si>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</si>
  <si>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</si>
  <si>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</si>
  <si>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</si>
  <si>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</si>
  <si>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</si>
  <si>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</si>
  <si>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</si>
  <si>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</si>
  <si>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</si>
  <si>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</si>
  <si>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</si>
  <si>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</si>
  <si>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</si>
  <si>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</si>
  <si>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</si>
  <si>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</si>
  <si>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</si>
  <si>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</si>
  <si>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</si>
  <si>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</si>
  <si>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</si>
  <si>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</si>
  <si>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</si>
  <si>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</si>
  <si>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</si>
  <si>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</si>
  <si>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</si>
  <si>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</si>
  <si>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</si>
  <si>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</si>
  <si>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</si>
  <si>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</si>
  <si>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</si>
  <si>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</si>
  <si>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</si>
  <si>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</si>
  <si>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</si>
  <si>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</si>
  <si>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</si>
  <si>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</si>
  <si>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</si>
  <si>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</si>
  <si>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</si>
  <si>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</si>
  <si>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</si>
  <si>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</si>
  <si>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</si>
  <si>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</si>
  <si>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</si>
  <si>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</si>
  <si>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</si>
  <si>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</si>
  <si>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</si>
  <si>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</si>
  <si>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</si>
  <si>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</si>
  <si>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</si>
  <si>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</si>
  <si>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</si>
  <si>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</si>
  <si>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</si>
  <si>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</si>
  <si>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</si>
  <si>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</si>
  <si>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</si>
  <si>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</si>
  <si>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</si>
  <si>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</si>
  <si>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</si>
  <si>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</si>
  <si>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</si>
  <si>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</si>
  <si>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</si>
  <si>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</si>
  <si>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</si>
  <si>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</si>
  <si>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</si>
  <si>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</si>
  <si>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</si>
  <si>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</si>
  <si>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</si>
  <si>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</si>
  <si>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</si>
  <si>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</si>
  <si>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</si>
  <si>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</si>
  <si>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</si>
  <si>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</si>
  <si>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</si>
  <si>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</si>
  <si>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</si>
  <si>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</si>
  <si>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</si>
  <si>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</si>
  <si>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</si>
  <si>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</si>
  <si>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</si>
  <si>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</si>
  <si>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</si>
  <si>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</si>
  <si>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</si>
  <si>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</si>
  <si>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</si>
  <si>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</si>
  <si>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</si>
  <si>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</si>
  <si>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</si>
  <si>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</si>
  <si>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</si>
  <si>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</si>
  <si>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</si>
  <si>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</si>
  <si>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</si>
  <si>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</si>
  <si>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</si>
  <si>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</si>
  <si>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</si>
  <si>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</si>
  <si>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</si>
  <si>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</si>
  <si>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</si>
  <si>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</si>
  <si>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</si>
  <si>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</si>
  <si>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</si>
  <si>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</si>
  <si>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</si>
  <si>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</si>
  <si>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</si>
  <si>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</si>
  <si>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</si>
  <si>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</si>
  <si>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</si>
  <si>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</si>
  <si>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</si>
  <si>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</si>
  <si>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</si>
  <si>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</si>
  <si>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</si>
  <si>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</si>
  <si>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</si>
  <si>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</si>
  <si>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</si>
  <si>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</si>
  <si>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</si>
  <si>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</si>
  <si>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</si>
  <si>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</si>
  <si>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</si>
  <si>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</si>
  <si>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</si>
  <si>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</si>
  <si>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</si>
  <si>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</si>
  <si>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</si>
  <si>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</si>
  <si>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</si>
  <si>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</si>
  <si>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</si>
  <si>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</si>
  <si>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</si>
  <si>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</si>
  <si>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</si>
  <si>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</si>
  <si>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</si>
  <si>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</si>
  <si>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</si>
  <si>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</si>
  <si>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</si>
  <si>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</si>
  <si>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</si>
  <si>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</si>
  <si>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</si>
  <si>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</si>
  <si>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</si>
  <si>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</si>
  <si>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</si>
  <si>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</si>
  <si>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</si>
  <si>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</si>
  <si>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</si>
  <si>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</si>
  <si>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</si>
  <si>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</si>
  <si>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</si>
  <si>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</si>
  <si>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</si>
  <si>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</si>
  <si>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</si>
  <si>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</si>
  <si>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</si>
  <si>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</si>
  <si>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</si>
  <si>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</si>
  <si>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</si>
  <si>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</si>
  <si>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</si>
  <si>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</si>
  <si>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</si>
  <si>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</si>
  <si>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</si>
  <si>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</si>
  <si>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</si>
  <si>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</si>
  <si>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</si>
  <si>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</si>
  <si>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</si>
  <si>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</si>
  <si>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</si>
  <si>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</si>
  <si>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</si>
  <si>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</si>
  <si>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</si>
  <si>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</si>
  <si>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</si>
  <si>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</si>
  <si>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</si>
  <si>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</si>
  <si>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</si>
  <si>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</si>
  <si>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</si>
  <si>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</si>
  <si>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</si>
  <si>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</si>
  <si>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</si>
  <si>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</si>
  <si>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</si>
  <si>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</si>
  <si>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</si>
  <si>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</si>
  <si>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</si>
  <si>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</si>
  <si>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</si>
  <si>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</si>
  <si>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</si>
  <si>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</si>
  <si>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</si>
  <si>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</si>
  <si>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</si>
  <si>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</si>
  <si>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</si>
  <si>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</si>
  <si>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</si>
  <si>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</si>
  <si>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</si>
  <si>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</si>
  <si>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</si>
  <si>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</si>
  <si>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</si>
  <si>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</si>
  <si>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</si>
  <si>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</si>
  <si>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</si>
  <si>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</si>
  <si>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</si>
  <si>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</si>
  <si>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</si>
  <si>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</si>
  <si>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</si>
  <si>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</si>
  <si>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</si>
  <si>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</si>
  <si>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</si>
  <si>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</si>
  <si>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</si>
  <si>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</si>
  <si>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</si>
  <si>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</si>
  <si>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</si>
  <si>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</si>
  <si>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</si>
  <si>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</si>
  <si>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</si>
  <si>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</si>
  <si>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</si>
  <si>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</si>
  <si>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</si>
  <si>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</si>
  <si>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</si>
  <si>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</si>
  <si>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</si>
  <si>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</si>
  <si>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</si>
  <si>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</si>
  <si>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</si>
  <si>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</si>
  <si>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</si>
  <si>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</si>
  <si>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</si>
  <si>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</si>
  <si>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</si>
  <si>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</si>
  <si>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</si>
  <si>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</si>
  <si>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</si>
  <si>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</si>
  <si>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</si>
  <si>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</si>
  <si>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</si>
  <si>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</si>
  <si>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</si>
  <si>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</si>
  <si>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</si>
  <si>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</si>
  <si>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</si>
  <si>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</si>
  <si>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</si>
  <si>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</si>
  <si>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</si>
  <si>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</si>
  <si>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</si>
  <si>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</si>
  <si>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</si>
  <si>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</si>
  <si>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</si>
  <si>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</si>
  <si>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</si>
  <si>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</si>
  <si>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</si>
  <si>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</si>
  <si>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</si>
  <si>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</si>
  <si>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</si>
  <si>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</si>
  <si>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</si>
  <si>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</si>
  <si>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</si>
  <si>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</si>
  <si>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</si>
  <si>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</si>
  <si>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</si>
  <si>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</si>
  <si>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</si>
  <si>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</si>
  <si>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</si>
  <si>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</si>
  <si>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</si>
  <si>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</si>
  <si>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</si>
  <si>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</si>
  <si>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</si>
  <si>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</si>
  <si>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</si>
  <si>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</si>
  <si>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</si>
  <si>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</si>
  <si>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</si>
  <si>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</si>
  <si>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</si>
  <si>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</si>
  <si>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</si>
  <si>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</si>
  <si>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</si>
  <si>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</si>
  <si>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</si>
  <si>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</si>
  <si>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</si>
  <si>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</si>
  <si>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</si>
  <si>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</si>
  <si>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</si>
  <si>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</si>
  <si>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</si>
  <si>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</si>
  <si>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</si>
  <si>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</si>
  <si>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</si>
  <si>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</si>
  <si>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</si>
  <si>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</si>
  <si>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</si>
  <si>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</si>
  <si>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</si>
  <si>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</si>
  <si>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</si>
  <si>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</si>
  <si>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</si>
  <si>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</si>
  <si>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</si>
  <si>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</si>
  <si>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</si>
  <si>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</si>
  <si>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</si>
  <si>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</si>
  <si>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</si>
  <si>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</si>
  <si>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</si>
  <si>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</si>
  <si>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</si>
  <si>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</si>
  <si>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</si>
  <si>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</si>
  <si>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</si>
  <si>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</si>
  <si>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</si>
  <si>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</si>
  <si>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</si>
  <si>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</si>
  <si>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</si>
  <si>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</si>
  <si>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</si>
  <si>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</si>
  <si>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</si>
  <si>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</si>
  <si>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</si>
  <si>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</si>
  <si>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</si>
  <si>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</si>
  <si>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</si>
  <si>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</si>
  <si>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</si>
  <si>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</si>
  <si>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</si>
  <si>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</si>
  <si>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</si>
  <si>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</si>
  <si>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</si>
  <si>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</si>
  <si>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</si>
  <si>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</si>
  <si>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</si>
  <si>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</si>
  <si>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</si>
  <si>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</si>
  <si>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</si>
  <si>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</si>
  <si>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</si>
  <si>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</si>
  <si>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</si>
  <si>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</si>
  <si>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</si>
  <si>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</si>
  <si>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</si>
  <si>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</si>
  <si>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</si>
  <si>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</si>
  <si>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</si>
  <si>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</si>
  <si>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</si>
  <si>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</si>
  <si>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</si>
  <si>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</si>
  <si>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</si>
  <si>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</si>
  <si>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</si>
  <si>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</si>
  <si>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</si>
  <si>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</si>
  <si>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</si>
  <si>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</si>
  <si>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</si>
  <si>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</si>
  <si>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</si>
  <si>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</si>
  <si>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</si>
  <si>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</si>
  <si>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</si>
  <si>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</si>
  <si>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</si>
  <si>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</si>
  <si>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</si>
  <si>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</si>
  <si>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</si>
  <si>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</si>
  <si>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</si>
  <si>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</si>
  <si>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</si>
  <si>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</si>
  <si>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</si>
  <si>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</si>
  <si>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</si>
  <si>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</si>
  <si>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</si>
  <si>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</si>
  <si>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</si>
  <si>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</si>
  <si>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</si>
  <si>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</si>
  <si>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</si>
  <si>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</si>
  <si>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</si>
  <si>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</si>
  <si>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</si>
  <si>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</si>
  <si>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</si>
  <si>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</si>
  <si>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</si>
  <si>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</si>
  <si>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</si>
  <si>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</si>
  <si>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</si>
  <si>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</si>
  <si>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</si>
  <si>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</si>
  <si>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</si>
  <si>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</si>
  <si>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</si>
  <si>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</si>
  <si>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</si>
  <si>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</si>
  <si>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</si>
  <si>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</si>
  <si>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</si>
  <si>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</si>
  <si>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</si>
  <si>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</si>
  <si>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</si>
  <si>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</si>
  <si>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</si>
  <si>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</si>
  <si>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</si>
  <si>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</si>
  <si>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</si>
  <si>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</si>
  <si>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</si>
  <si>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</si>
  <si>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</si>
  <si>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</si>
  <si>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</si>
  <si>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</si>
  <si>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</si>
  <si>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</si>
  <si>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</si>
  <si>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</si>
  <si>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</si>
  <si>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</si>
  <si>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</si>
  <si>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</si>
  <si>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</si>
  <si>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</si>
  <si>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</si>
  <si>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</si>
  <si>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</si>
  <si>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</si>
  <si>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</si>
  <si>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</si>
  <si>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</si>
  <si>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</si>
  <si>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</si>
  <si>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</si>
  <si>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</si>
  <si>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</si>
  <si>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</si>
  <si>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</si>
  <si>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</si>
  <si>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</si>
  <si>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</si>
  <si>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</si>
  <si>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</si>
  <si>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</si>
  <si>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</si>
  <si>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</si>
  <si>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</si>
  <si>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</si>
  <si>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</si>
  <si>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</si>
  <si>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</si>
  <si>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</si>
  <si>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</si>
  <si>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</si>
  <si>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</si>
  <si>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</si>
  <si>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</si>
  <si>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</si>
  <si>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</si>
  <si>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</si>
  <si>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</si>
  <si>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</si>
  <si>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</si>
  <si>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</si>
  <si>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</si>
  <si>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</si>
  <si>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</si>
  <si>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</si>
  <si>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</si>
  <si>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</si>
  <si>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</si>
  <si>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</si>
  <si>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</si>
  <si>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</si>
  <si>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</si>
  <si>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</si>
  <si>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</si>
  <si>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</si>
  <si>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</si>
  <si>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</si>
  <si>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</si>
  <si>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</si>
  <si>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</si>
  <si>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</si>
  <si>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</si>
  <si>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</si>
  <si>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</si>
  <si>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</si>
  <si>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</si>
  <si>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</si>
  <si>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</si>
  <si>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</si>
  <si>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</si>
  <si>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</si>
  <si>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</si>
  <si>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</si>
  <si>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</si>
  <si>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</si>
  <si>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</si>
  <si>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</si>
  <si>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</si>
  <si>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</si>
  <si>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</si>
  <si>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</si>
  <si>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</si>
  <si>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</si>
  <si>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</si>
  <si>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</si>
  <si>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</si>
  <si>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</si>
  <si>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</si>
  <si>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</si>
  <si>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</si>
  <si>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</si>
  <si>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</si>
  <si>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</si>
  <si>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</si>
  <si>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</si>
  <si>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</si>
  <si>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</si>
  <si>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</si>
  <si>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</si>
  <si>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</si>
  <si>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</si>
  <si>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</si>
  <si>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</si>
  <si>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</si>
  <si>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</si>
  <si>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</si>
  <si>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</si>
  <si>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</si>
  <si>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</si>
  <si>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</si>
  <si>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</si>
  <si>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</si>
  <si>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</si>
  <si>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</si>
  <si>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</si>
  <si>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</si>
  <si>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</si>
  <si>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</si>
  <si>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</si>
  <si>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</si>
  <si>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</si>
  <si>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</si>
  <si>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</si>
  <si>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</si>
  <si>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</si>
  <si>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</si>
  <si>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</si>
  <si>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</si>
  <si>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</si>
  <si>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</si>
  <si>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</si>
  <si>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</si>
  <si>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</si>
  <si>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</si>
  <si>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</si>
  <si>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</si>
  <si>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</si>
  <si>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</si>
  <si>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</si>
  <si>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</si>
  <si>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</si>
  <si>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</si>
  <si>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</si>
  <si>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</si>
  <si>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</si>
  <si>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</si>
  <si>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</si>
  <si>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</si>
  <si>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</si>
  <si>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</si>
  <si>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</si>
  <si>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</si>
  <si>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</si>
  <si>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</si>
  <si>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</si>
  <si>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</si>
  <si>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</si>
  <si>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</si>
  <si>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</si>
  <si>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</si>
  <si>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</si>
  <si>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</si>
  <si>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</si>
  <si>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</si>
  <si>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</si>
  <si>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</si>
  <si>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</si>
  <si>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</si>
  <si>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</si>
  <si>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</si>
  <si>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</si>
  <si>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</si>
  <si>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</si>
  <si>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</si>
  <si>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</si>
  <si>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</si>
  <si>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</si>
  <si>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</si>
  <si>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</si>
  <si>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</si>
  <si>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</si>
  <si>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</si>
  <si>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</si>
  <si>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</si>
  <si>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</si>
  <si>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</si>
  <si>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</si>
  <si>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</si>
  <si>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</si>
  <si>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</si>
  <si>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</si>
  <si>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</si>
  <si>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</si>
  <si>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</si>
  <si>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</si>
  <si>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</si>
  <si>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</si>
  <si>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</si>
  <si>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</si>
  <si>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</si>
  <si>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</si>
  <si>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</si>
  <si>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</si>
  <si>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</si>
  <si>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</si>
  <si>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</si>
  <si>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</si>
  <si>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</si>
  <si>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</si>
  <si>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</si>
  <si>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</si>
  <si>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</si>
  <si>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</si>
  <si>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</si>
  <si>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</si>
  <si>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</si>
  <si>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</si>
  <si>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</si>
  <si>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</si>
  <si>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</si>
  <si>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</si>
  <si>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</si>
  <si>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</si>
  <si>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</si>
  <si>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</si>
  <si>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</si>
  <si>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</si>
  <si>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</si>
  <si>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</si>
  <si>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</si>
  <si>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</si>
  <si>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</si>
  <si>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</si>
  <si>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</si>
  <si>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</si>
  <si>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</si>
  <si>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</si>
  <si>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</si>
  <si>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</si>
  <si>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</si>
  <si>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</si>
  <si>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</si>
  <si>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</si>
  <si>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</si>
  <si>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</si>
  <si>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</si>
  <si>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</si>
  <si>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</si>
  <si>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</si>
  <si>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</si>
  <si>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</si>
  <si>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</si>
  <si>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</si>
  <si>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</si>
  <si>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</si>
  <si>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</si>
  <si>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</si>
  <si>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</si>
  <si>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</si>
  <si>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</si>
  <si>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</si>
  <si>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</si>
  <si>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</si>
  <si>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</si>
  <si>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</si>
  <si>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</si>
  <si>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</si>
  <si>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</si>
  <si>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</si>
  <si>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</si>
  <si>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</si>
  <si>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</si>
  <si>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</si>
  <si>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</si>
  <si>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</si>
  <si>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</si>
  <si>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</si>
  <si>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</si>
  <si>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</si>
  <si>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</si>
  <si>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</si>
  <si>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</si>
  <si>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</si>
  <si>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</si>
  <si>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</si>
  <si>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</si>
  <si>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</si>
  <si>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</si>
  <si>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</si>
  <si>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</si>
  <si>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</si>
  <si>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</si>
  <si>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</si>
  <si>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</si>
  <si>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</si>
  <si>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</si>
  <si>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</si>
  <si>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</si>
  <si>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</si>
  <si>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</si>
  <si>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</si>
  <si>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</si>
  <si>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</si>
  <si>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</si>
  <si>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</si>
  <si>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</si>
  <si>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</si>
  <si>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</si>
  <si>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</si>
  <si>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</si>
  <si>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</si>
  <si>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</si>
  <si>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</si>
  <si>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</si>
  <si>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</si>
  <si>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</si>
  <si>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</si>
  <si>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</si>
  <si>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</si>
  <si>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</si>
  <si>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</si>
  <si>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</si>
  <si>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</si>
  <si>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</si>
  <si>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</si>
  <si>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</si>
  <si>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</si>
  <si>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</si>
  <si>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</si>
  <si>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</si>
  <si>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</si>
  <si>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</si>
  <si>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</si>
  <si>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</si>
  <si>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</si>
  <si>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</si>
  <si>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</si>
  <si>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</si>
  <si>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</si>
  <si>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</si>
  <si>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</si>
  <si>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</si>
  <si>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</si>
  <si>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</si>
  <si>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</si>
  <si>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</si>
  <si>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</si>
  <si>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</si>
  <si>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</si>
  <si>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</si>
  <si>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</si>
  <si>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</si>
  <si>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</si>
  <si>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</si>
  <si>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</si>
  <si>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</si>
  <si>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</si>
  <si>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</si>
  <si>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</si>
  <si>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</si>
  <si>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</si>
  <si>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</si>
  <si>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</si>
  <si>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</si>
  <si>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</si>
  <si>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</si>
  <si>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</si>
  <si>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</si>
  <si>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</si>
  <si>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</si>
  <si>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</si>
  <si>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</si>
  <si>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</si>
  <si>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</si>
  <si>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</si>
  <si>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</si>
  <si>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</si>
  <si>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</si>
  <si>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</si>
  <si>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</si>
  <si>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</si>
  <si>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</si>
  <si>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</si>
  <si>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</si>
  <si>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</si>
  <si>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</si>
  <si>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</si>
  <si>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</si>
  <si>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</si>
  <si>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</si>
  <si>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</si>
  <si>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</si>
  <si>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</si>
  <si>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</si>
  <si>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</si>
  <si>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</si>
  <si>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</si>
  <si>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</si>
  <si>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</si>
  <si>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</si>
  <si>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</si>
  <si>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</si>
  <si>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</si>
  <si>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</si>
  <si>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</si>
  <si>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</si>
  <si>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</si>
  <si>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</si>
  <si>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</si>
  <si>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</si>
  <si>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</si>
  <si>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</si>
  <si>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</si>
  <si>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</si>
  <si>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</si>
  <si>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</si>
  <si>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</si>
  <si>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</si>
  <si>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</si>
  <si>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</si>
  <si>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</si>
  <si>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</si>
  <si>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</si>
  <si>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</si>
  <si>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</si>
  <si>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</si>
  <si>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</si>
  <si>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</si>
  <si>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</si>
  <si>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</si>
  <si>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</si>
  <si>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</si>
  <si>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</si>
  <si>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</si>
  <si>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</si>
  <si>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</si>
  <si>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</si>
  <si>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</si>
  <si>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</si>
  <si>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</si>
  <si>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</si>
  <si>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</si>
  <si>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</si>
  <si>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</si>
  <si>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</si>
  <si>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</si>
  <si>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</si>
  <si>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</si>
  <si>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</si>
  <si>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</si>
  <si>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</si>
  <si>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</si>
  <si>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</si>
  <si>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</si>
  <si>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</si>
  <si>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</si>
  <si>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</si>
  <si>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</si>
  <si>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</si>
  <si>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</si>
  <si>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</si>
  <si>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</si>
  <si>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</si>
  <si>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</si>
  <si>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</si>
  <si>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</si>
  <si>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</si>
  <si>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</si>
  <si>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</si>
  <si>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</si>
  <si>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</si>
  <si>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</si>
  <si>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</si>
  <si>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</si>
  <si>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</si>
  <si>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</si>
  <si>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</si>
  <si>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</si>
  <si>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</si>
  <si>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</si>
  <si>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</si>
  <si>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</si>
  <si>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</si>
  <si>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</si>
  <si>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</si>
  <si>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</si>
  <si>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</si>
  <si>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</si>
  <si>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</si>
  <si>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</si>
  <si>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</si>
  <si>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</si>
  <si>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</si>
  <si>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</si>
  <si>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</si>
  <si>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</si>
  <si>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</si>
  <si>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</si>
  <si>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</si>
  <si>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</si>
  <si>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</si>
  <si>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</si>
  <si>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</si>
  <si>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</si>
  <si>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</si>
  <si>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</si>
  <si>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</si>
  <si>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</si>
  <si>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</si>
  <si>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</si>
  <si>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</si>
  <si>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</si>
  <si>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</si>
  <si>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</si>
  <si>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</si>
  <si>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</si>
  <si>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</si>
  <si>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</si>
  <si>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</si>
  <si>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</si>
  <si>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</si>
  <si>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</si>
  <si>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</si>
  <si>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</si>
  <si>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</si>
  <si>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</si>
  <si>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</si>
  <si>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</si>
  <si>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</si>
  <si>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</si>
  <si>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</si>
  <si>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</si>
  <si>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</si>
  <si>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</si>
  <si>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</si>
  <si>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</si>
  <si>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</si>
  <si>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</si>
  <si>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</si>
  <si>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</si>
  <si>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</si>
  <si>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</si>
  <si>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</si>
  <si>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</si>
  <si>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</si>
  <si>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</si>
  <si>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</si>
  <si>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</si>
  <si>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</si>
  <si>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</si>
  <si>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</si>
  <si>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</si>
  <si>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</si>
  <si>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</si>
  <si>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</si>
  <si>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</si>
  <si>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</si>
  <si>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</si>
  <si>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</si>
  <si>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</si>
  <si>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</si>
  <si>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</si>
  <si>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</si>
  <si>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</si>
  <si>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</si>
  <si>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</si>
  <si>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</si>
  <si>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</si>
  <si>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</si>
  <si>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</si>
  <si>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</si>
  <si>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</si>
  <si>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</si>
  <si>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</si>
  <si>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</si>
  <si>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</si>
  <si>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</si>
  <si>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</si>
  <si>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</si>
  <si>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</si>
  <si>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</si>
  <si>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</si>
  <si>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</si>
  <si>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</si>
  <si>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</si>
  <si>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</si>
  <si>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</si>
  <si>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</si>
  <si>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</si>
  <si>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</si>
  <si>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</si>
  <si>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</si>
  <si>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</si>
  <si>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</si>
  <si>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</si>
  <si>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</si>
  <si>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</si>
  <si>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</si>
  <si>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</si>
  <si>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</si>
  <si>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</si>
  <si>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</si>
  <si>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</si>
  <si>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</si>
  <si>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</si>
  <si>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</si>
  <si>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</si>
  <si>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</si>
  <si>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</si>
  <si>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</si>
  <si>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</si>
  <si>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</si>
  <si>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</si>
  <si>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</si>
  <si>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</si>
  <si>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</si>
  <si>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</si>
  <si>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</si>
  <si>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</si>
  <si>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</si>
  <si>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</si>
  <si>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</si>
  <si>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</si>
  <si>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</si>
  <si>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</si>
  <si>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</si>
  <si>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</si>
  <si>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</si>
  <si>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</si>
  <si>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</si>
  <si>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</si>
  <si>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</si>
  <si>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</si>
  <si>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</si>
  <si>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</si>
  <si>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</si>
  <si>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</si>
  <si>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</si>
  <si>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</si>
  <si>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</si>
  <si>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</si>
  <si>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</si>
  <si>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</si>
  <si>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</si>
  <si>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</si>
  <si>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</si>
  <si>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</si>
  <si>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</si>
  <si>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</si>
  <si>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</si>
  <si>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</si>
  <si>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</si>
  <si>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</si>
  <si>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</si>
  <si>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</si>
  <si>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</si>
  <si>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</si>
  <si>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</si>
  <si>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</si>
  <si>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</si>
  <si>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</si>
  <si>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</si>
  <si>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</si>
  <si>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</si>
  <si>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</si>
  <si>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</si>
  <si>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</si>
  <si>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</si>
  <si>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</si>
  <si>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</si>
  <si>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</si>
  <si>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</si>
  <si>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</si>
  <si>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</si>
  <si>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</si>
  <si>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</si>
  <si>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</si>
  <si>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</si>
  <si>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</si>
  <si>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</si>
  <si>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</si>
  <si>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</si>
  <si>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</si>
  <si>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</si>
  <si>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</si>
  <si>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</si>
  <si>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</si>
  <si>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</si>
  <si>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</si>
  <si>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</si>
  <si>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</si>
  <si>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</si>
  <si>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</si>
  <si>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</si>
  <si>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</si>
  <si>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</si>
  <si>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</si>
  <si>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</si>
  <si>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</si>
  <si>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</si>
  <si>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</si>
  <si>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</si>
  <si>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</si>
  <si>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</si>
  <si>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</si>
  <si>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</si>
  <si>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</si>
  <si>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</si>
  <si>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</si>
  <si>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</si>
  <si>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</si>
  <si>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</si>
  <si>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</si>
  <si>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</si>
  <si>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</si>
  <si>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</si>
  <si>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</si>
  <si>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</si>
  <si>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</si>
  <si>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</si>
  <si>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</si>
  <si>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</si>
  <si>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</si>
  <si>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</si>
  <si>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</si>
  <si>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</si>
  <si>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</si>
  <si>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</si>
  <si>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</si>
  <si>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</si>
  <si>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</si>
  <si>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</si>
  <si>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</si>
  <si>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</si>
  <si>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</si>
  <si>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</si>
  <si>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</si>
  <si>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</si>
  <si>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</si>
  <si>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</si>
  <si>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</si>
  <si>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</si>
  <si>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</si>
  <si>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</si>
  <si>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</si>
  <si>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</si>
  <si>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</si>
  <si>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</si>
  <si>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</si>
  <si>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</si>
  <si>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</si>
  <si>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</si>
  <si>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</si>
  <si>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</si>
  <si>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</si>
  <si>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</si>
  <si>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</si>
  <si>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</si>
  <si>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</si>
  <si>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</si>
  <si>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</si>
  <si>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</si>
  <si>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</si>
  <si>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</si>
  <si>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</si>
  <si>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</si>
  <si>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</si>
  <si>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</si>
  <si>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</si>
  <si>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</si>
  <si>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</si>
  <si>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</si>
  <si>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</si>
  <si>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</si>
  <si>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</si>
  <si>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</si>
  <si>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</si>
  <si>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</si>
  <si>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</si>
  <si>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</si>
  <si>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</si>
  <si>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</si>
  <si>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</si>
  <si>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</si>
  <si>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</si>
  <si>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</si>
  <si>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</si>
  <si>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</si>
  <si>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</si>
  <si>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</si>
  <si>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</si>
  <si>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</si>
  <si>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</si>
  <si>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</si>
  <si>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</si>
  <si>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</si>
  <si>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</si>
  <si>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</si>
  <si>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</si>
  <si>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</si>
  <si>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</si>
  <si>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</si>
  <si>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</si>
  <si>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</si>
  <si>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</si>
  <si>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</si>
  <si>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</si>
  <si>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</si>
  <si>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</si>
  <si>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</si>
  <si>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</si>
  <si>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</si>
  <si>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</si>
  <si>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</si>
  <si>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</si>
  <si>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</si>
  <si>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</si>
  <si>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</si>
  <si>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</si>
  <si>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</si>
  <si>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</si>
  <si>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</si>
  <si>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</si>
  <si>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</si>
  <si>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</si>
  <si>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</si>
  <si>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</si>
  <si>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</si>
  <si>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</si>
  <si>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</si>
  <si>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</si>
  <si>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</si>
  <si>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</si>
  <si>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</si>
  <si>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</si>
  <si>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</si>
  <si>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</si>
  <si>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</si>
  <si>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</si>
  <si>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</si>
  <si>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</si>
  <si>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</si>
  <si>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</si>
  <si>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</si>
  <si>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</si>
  <si>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</si>
  <si>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</si>
  <si>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</si>
  <si>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</si>
  <si>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</si>
  <si>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</si>
  <si>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</si>
  <si>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</si>
  <si>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</si>
  <si>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</si>
  <si>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</si>
  <si>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</si>
  <si>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</si>
  <si>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</si>
  <si>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</si>
  <si>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</si>
  <si>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</si>
  <si>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</si>
  <si>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</si>
  <si>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</si>
  <si>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</si>
  <si>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</si>
  <si>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</si>
  <si>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</si>
  <si>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</si>
  <si>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</si>
  <si>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</si>
  <si>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</si>
  <si>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</si>
  <si>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</si>
  <si>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</si>
  <si>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</si>
  <si>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</si>
  <si>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</si>
  <si>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</si>
  <si>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</si>
  <si>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</si>
  <si>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</si>
  <si>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</si>
  <si>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</si>
  <si>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</si>
  <si>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</si>
  <si>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</si>
  <si>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</si>
  <si>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</si>
  <si>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</si>
  <si>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</si>
  <si>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</si>
  <si>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</si>
  <si>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</si>
  <si>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</si>
  <si>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</si>
  <si>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</si>
  <si>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</si>
  <si>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</si>
  <si>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</si>
  <si>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</si>
  <si>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</si>
  <si>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</si>
  <si>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</si>
  <si>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</si>
  <si>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</si>
  <si>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</si>
  <si>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</si>
  <si>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</si>
  <si>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</si>
  <si>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</si>
  <si>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</si>
  <si>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</si>
  <si>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</si>
  <si>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</si>
  <si>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</si>
  <si>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</si>
  <si>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</si>
  <si>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</si>
  <si>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</si>
  <si>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</si>
  <si>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</si>
  <si>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</si>
  <si>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</si>
  <si>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</si>
  <si>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</si>
  <si>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</si>
  <si>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</si>
  <si>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</si>
  <si>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</si>
  <si>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</si>
  <si>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</si>
  <si>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</si>
  <si>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</si>
  <si>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</si>
  <si>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</si>
  <si>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</si>
  <si>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</si>
  <si>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</si>
  <si>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</si>
  <si>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</si>
  <si>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</si>
  <si>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</si>
  <si>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</si>
  <si>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</si>
  <si>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</si>
  <si>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</si>
  <si>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</si>
  <si>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</si>
  <si>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</si>
  <si>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</si>
  <si>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</si>
  <si>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</si>
  <si>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</si>
  <si>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</si>
  <si>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</si>
  <si>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</si>
  <si>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</si>
  <si>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</si>
  <si>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</si>
  <si>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</si>
  <si>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</si>
  <si>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</si>
  <si>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</si>
  <si>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</si>
  <si>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</si>
  <si>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</si>
  <si>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</si>
  <si>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</si>
  <si>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</si>
  <si>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</si>
  <si>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</si>
  <si>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</si>
  <si>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</si>
  <si>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</si>
  <si>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</si>
  <si>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</si>
  <si>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</si>
  <si>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</si>
  <si>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</si>
  <si>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</si>
  <si>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</si>
  <si>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</si>
  <si>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</si>
  <si>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</si>
  <si>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</si>
  <si>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</si>
  <si>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</si>
  <si>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</si>
  <si>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</si>
  <si>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</si>
  <si>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</si>
  <si>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</si>
  <si>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</si>
  <si>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</si>
  <si>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</si>
  <si>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</si>
  <si>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</si>
  <si>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</si>
  <si>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</si>
  <si>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</si>
  <si>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</si>
  <si>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</si>
  <si>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</si>
  <si>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</si>
  <si>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</si>
  <si>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</si>
  <si>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</si>
  <si>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</si>
  <si>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</si>
  <si>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</si>
  <si>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</si>
  <si>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</si>
  <si>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</si>
  <si>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</si>
  <si>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</si>
  <si>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</si>
  <si>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</si>
  <si>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</si>
  <si>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</si>
  <si>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</si>
  <si>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</si>
  <si>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</si>
  <si>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</si>
  <si>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</si>
  <si>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</si>
  <si>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</si>
  <si>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</si>
  <si>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</si>
  <si>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</si>
  <si>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</si>
  <si>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</si>
  <si>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</si>
  <si>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</si>
  <si>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</si>
  <si>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</si>
  <si>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</si>
  <si>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</si>
  <si>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</si>
  <si>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</si>
  <si>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</si>
  <si>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</si>
  <si>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</si>
  <si>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</si>
  <si>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</si>
  <si>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</si>
  <si>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</si>
  <si>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</si>
  <si>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</si>
  <si>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</si>
  <si>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</si>
  <si>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</si>
  <si>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</si>
  <si>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</si>
  <si>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</si>
  <si>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</si>
  <si>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</si>
  <si>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</si>
  <si>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</si>
  <si>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</si>
  <si>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</si>
  <si>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</si>
  <si>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</si>
  <si>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</si>
  <si>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</si>
  <si>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</si>
  <si>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</si>
  <si>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</si>
  <si>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</si>
  <si>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</si>
  <si>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</si>
  <si>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</si>
  <si>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</si>
  <si>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</si>
  <si>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</si>
  <si>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</si>
  <si>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</si>
  <si>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</si>
  <si>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</si>
  <si>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</si>
  <si>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</si>
  <si>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</si>
  <si>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</si>
  <si>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</si>
  <si>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</si>
  <si>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</si>
  <si>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</si>
  <si>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</si>
  <si>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</si>
  <si>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</si>
  <si>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</si>
  <si>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</si>
  <si>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</si>
  <si>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</si>
  <si>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</si>
  <si>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</si>
  <si>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</si>
  <si>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</si>
  <si>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</si>
  <si>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</si>
  <si>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</si>
  <si>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</si>
  <si>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</si>
  <si>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</si>
  <si>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</si>
  <si>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</si>
  <si>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</si>
  <si>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</si>
  <si>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</si>
  <si>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</si>
  <si>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</si>
  <si>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</si>
  <si>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</si>
  <si>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</si>
  <si>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</si>
  <si>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</si>
  <si>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</si>
  <si>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</si>
  <si>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</si>
  <si>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</si>
  <si>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</si>
  <si>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</si>
  <si>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</si>
  <si>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</si>
  <si>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</si>
  <si>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</si>
  <si>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</si>
  <si>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</si>
  <si>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</si>
  <si>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</si>
  <si>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</si>
  <si>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</si>
  <si>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</si>
  <si>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</si>
  <si>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</si>
  <si>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</si>
  <si>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</si>
  <si>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</si>
  <si>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</si>
  <si>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</si>
  <si>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</si>
  <si>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</si>
  <si>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</si>
  <si>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</si>
  <si>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</si>
  <si>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</si>
  <si>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</si>
  <si>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</si>
  <si>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</si>
  <si>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</si>
  <si>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</si>
  <si>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</si>
  <si>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</si>
  <si>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</si>
  <si>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</si>
  <si>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</si>
  <si>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</si>
  <si>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</si>
  <si>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</si>
  <si>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</si>
  <si>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</si>
  <si>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</si>
  <si>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</si>
  <si>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</si>
  <si>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</si>
  <si>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</si>
  <si>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</si>
  <si>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</si>
  <si>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</si>
  <si>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</si>
  <si>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</si>
  <si>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</si>
  <si>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</si>
  <si>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</si>
  <si>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</si>
  <si>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</si>
  <si>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</si>
  <si>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</si>
  <si>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</si>
  <si>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</si>
  <si>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</si>
  <si>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</si>
  <si>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</si>
  <si>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</si>
  <si>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</si>
  <si>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</si>
  <si>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</si>
  <si>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</si>
  <si>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</si>
  <si>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</si>
  <si>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</si>
  <si>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</si>
  <si>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</si>
  <si>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</si>
  <si>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</si>
  <si>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</si>
  <si>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</si>
  <si>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</si>
  <si>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</si>
  <si>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</si>
  <si>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</si>
  <si>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</si>
  <si>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</si>
  <si>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</si>
  <si>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</si>
  <si>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</si>
  <si>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</si>
  <si>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</si>
  <si>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</si>
  <si>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</si>
  <si>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</si>
  <si>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</si>
  <si>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</si>
  <si>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</si>
  <si>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</si>
  <si>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</si>
  <si>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</si>
  <si>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</si>
  <si>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</si>
  <si>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</si>
  <si>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</si>
  <si>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</si>
  <si>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</si>
  <si>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</si>
  <si>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</si>
  <si>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</si>
  <si>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</si>
  <si>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</si>
  <si>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</si>
  <si>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</si>
  <si>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</si>
  <si>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</si>
  <si>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</si>
  <si>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</si>
  <si>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</si>
  <si>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</si>
  <si>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</si>
  <si>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</si>
  <si>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</si>
  <si>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</si>
  <si>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</si>
  <si>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</si>
  <si>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</si>
  <si>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</si>
  <si>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</si>
  <si>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</si>
  <si>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</si>
  <si>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</si>
  <si>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</si>
  <si>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</si>
  <si>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</si>
  <si>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</si>
  <si>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</si>
  <si>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</si>
  <si>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</si>
  <si>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</si>
  <si>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</si>
  <si>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</si>
  <si>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</si>
  <si>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</si>
  <si>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</si>
  <si>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</si>
  <si>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</si>
  <si>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</si>
  <si>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</si>
  <si>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</si>
  <si>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</si>
  <si>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</si>
  <si>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</si>
  <si>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</si>
  <si>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</si>
  <si>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</si>
  <si>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</si>
  <si>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</si>
  <si>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</si>
  <si>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</si>
  <si>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</si>
  <si>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</si>
  <si>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</si>
  <si>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</si>
  <si>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</si>
  <si>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</si>
  <si>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</si>
  <si>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</si>
  <si>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</si>
  <si>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</si>
  <si>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</si>
  <si>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</si>
  <si>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</si>
  <si>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</si>
  <si>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</si>
  <si>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</si>
  <si>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</si>
  <si>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</si>
  <si>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</si>
  <si>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</si>
  <si>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</si>
  <si>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</si>
  <si>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</si>
  <si>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</si>
  <si>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</si>
  <si>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</si>
  <si>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</si>
  <si>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</si>
  <si>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</si>
  <si>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</si>
  <si>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</si>
  <si>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</si>
  <si>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</si>
  <si>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</si>
  <si>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</si>
  <si>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</si>
  <si>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</si>
  <si>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</si>
  <si>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</si>
  <si>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</si>
  <si>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</si>
  <si>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</si>
  <si>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</si>
  <si>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</si>
  <si>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</si>
  <si>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</si>
  <si>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</si>
  <si>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</si>
  <si>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</si>
  <si>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</si>
  <si>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</si>
  <si>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</si>
  <si>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</si>
  <si>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</si>
  <si>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</si>
  <si>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</si>
  <si>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</si>
  <si>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</si>
  <si>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</si>
  <si>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</si>
  <si>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</si>
  <si>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</si>
  <si>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</si>
  <si>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</si>
  <si>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</si>
  <si>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</si>
  <si>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</si>
  <si>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</si>
  <si>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</si>
  <si>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</si>
  <si>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</si>
  <si>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</si>
  <si>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</si>
  <si>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</si>
  <si>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</si>
  <si>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</si>
  <si>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</si>
  <si>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</si>
  <si>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</si>
  <si>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</si>
  <si>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</si>
  <si>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</si>
  <si>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</si>
  <si>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</si>
  <si>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</si>
  <si>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</si>
  <si>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</si>
  <si>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</si>
  <si>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</si>
  <si>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</si>
  <si>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</si>
  <si>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</si>
  <si>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</si>
  <si>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</si>
  <si>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</si>
  <si>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</si>
  <si>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</si>
  <si>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</si>
  <si>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</si>
  <si>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</si>
  <si>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</si>
  <si>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</si>
  <si>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</si>
  <si>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</si>
  <si>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</si>
  <si>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</si>
  <si>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</si>
  <si>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</si>
  <si>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</si>
  <si>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</si>
  <si>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</si>
  <si>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</si>
  <si>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</si>
  <si>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</si>
  <si>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</si>
  <si>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</si>
  <si>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</si>
  <si>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</si>
  <si>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</si>
  <si>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</si>
  <si>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</si>
  <si>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</si>
  <si>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</si>
  <si>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</si>
  <si>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</si>
  <si>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</si>
  <si>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</si>
  <si>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</si>
  <si>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</si>
  <si>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</si>
  <si>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</si>
  <si>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</si>
  <si>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</si>
  <si>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</si>
  <si>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</si>
  <si>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</si>
  <si>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</si>
  <si>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</si>
  <si>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</si>
  <si>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</si>
  <si>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</si>
  <si>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</si>
  <si>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</si>
  <si>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</si>
  <si>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</si>
  <si>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</si>
  <si>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</si>
  <si>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</si>
  <si>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</si>
  <si>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</si>
  <si>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</si>
  <si>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</si>
  <si>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</si>
  <si>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</si>
  <si>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</si>
  <si>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</si>
  <si>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</si>
  <si>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</si>
  <si>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</si>
  <si>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</si>
  <si>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</si>
  <si>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</si>
  <si>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</si>
  <si>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</si>
  <si>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</si>
  <si>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</si>
  <si>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</si>
  <si>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</si>
  <si>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</si>
  <si>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</si>
  <si>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</si>
  <si>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</si>
  <si>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</si>
  <si>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</si>
  <si>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</si>
  <si>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</si>
  <si>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</si>
  <si>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</si>
  <si>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</si>
  <si>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</si>
  <si>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</si>
  <si>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</si>
  <si>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</si>
  <si>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</si>
  <si>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</si>
  <si>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</si>
  <si>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</si>
  <si>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</si>
  <si>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</si>
  <si>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</si>
  <si>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</si>
  <si>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</si>
  <si>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</si>
  <si>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</si>
  <si>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</si>
  <si>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</si>
  <si>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</si>
  <si>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</si>
  <si>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</si>
  <si>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</si>
  <si>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</si>
  <si>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</si>
  <si>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</si>
  <si>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</si>
  <si>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</si>
  <si>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</si>
  <si>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</si>
  <si>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</si>
  <si>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</si>
  <si>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</si>
  <si>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</si>
  <si>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</si>
  <si>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</si>
  <si>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</si>
  <si>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</si>
  <si>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</si>
  <si>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</si>
  <si>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</si>
  <si>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</si>
  <si>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</si>
  <si>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</si>
  <si>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</si>
  <si>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</si>
  <si>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</si>
  <si>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</si>
  <si>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</si>
  <si>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</si>
  <si>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</si>
  <si>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</si>
  <si>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</si>
  <si>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</si>
  <si>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</si>
  <si>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</si>
  <si>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</si>
  <si>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</si>
  <si>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</si>
  <si>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</si>
  <si>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</si>
  <si>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</si>
  <si>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</si>
  <si>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</si>
  <si>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</si>
  <si>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</si>
  <si>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</si>
  <si>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</si>
  <si>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</si>
  <si>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</si>
  <si>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</si>
  <si>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</si>
  <si>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</si>
  <si>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</si>
  <si>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</si>
  <si>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</si>
  <si>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</si>
  <si>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</si>
  <si>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</si>
  <si>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</si>
  <si>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</si>
  <si>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</si>
  <si>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</si>
  <si>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</si>
  <si>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</si>
  <si>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</si>
  <si>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</si>
  <si>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</si>
  <si>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</si>
  <si>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</si>
  <si>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</si>
  <si>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</si>
  <si>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</si>
  <si>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</si>
  <si>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</si>
  <si>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</si>
  <si>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</si>
  <si>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</si>
  <si>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</si>
  <si>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</si>
  <si>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</si>
  <si>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</si>
  <si>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</si>
  <si>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</si>
  <si>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</si>
  <si>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</si>
  <si>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</si>
  <si>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</si>
  <si>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</si>
  <si>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</si>
  <si>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</si>
  <si>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</si>
  <si>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</si>
  <si>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</si>
  <si>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</si>
  <si>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</si>
  <si>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</si>
  <si>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</si>
  <si>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</si>
  <si>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</si>
  <si>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</si>
  <si>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</si>
  <si>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</si>
  <si>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</si>
  <si>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</si>
  <si>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</si>
  <si>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</si>
  <si>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</si>
  <si>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</si>
  <si>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</si>
  <si>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</si>
  <si>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</si>
  <si>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</si>
  <si>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</si>
  <si>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</si>
  <si>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</si>
  <si>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</si>
  <si>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</si>
  <si>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</si>
  <si>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</si>
  <si>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</si>
  <si>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</si>
  <si>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</si>
  <si>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</si>
  <si>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</si>
  <si>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</si>
  <si>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</si>
  <si>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</si>
  <si>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</si>
  <si>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</si>
  <si>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</si>
  <si>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</si>
  <si>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</si>
  <si>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</si>
  <si>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</si>
  <si>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</si>
  <si>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</si>
  <si>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</si>
  <si>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</si>
  <si>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</si>
  <si>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</si>
  <si>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</si>
  <si>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</si>
  <si>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</si>
  <si>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</si>
  <si>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</si>
  <si>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</si>
  <si>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</si>
  <si>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</si>
  <si>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</si>
  <si>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</si>
  <si>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</si>
  <si>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</si>
  <si>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</si>
  <si>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</si>
  <si>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</si>
  <si>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</si>
  <si>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</si>
  <si>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</si>
  <si>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</si>
  <si>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</si>
  <si>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</si>
  <si>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</si>
  <si>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</si>
  <si>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</si>
  <si>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</si>
  <si>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</si>
  <si>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</si>
  <si>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</si>
  <si>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</si>
  <si>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</si>
  <si>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</si>
  <si>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</si>
  <si>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</si>
  <si>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</si>
  <si>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</si>
  <si>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</si>
  <si>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</si>
  <si>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</si>
  <si>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</si>
  <si>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</si>
  <si>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</si>
  <si>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</si>
  <si>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</si>
  <si>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</si>
  <si>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</si>
  <si>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</si>
  <si>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</si>
  <si>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</si>
  <si>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</si>
  <si>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</si>
  <si>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</si>
  <si>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</si>
  <si>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</si>
  <si>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</si>
  <si>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</si>
  <si>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</si>
  <si>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</si>
  <si>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</si>
  <si>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</si>
  <si>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</si>
  <si>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</si>
  <si>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</si>
  <si>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</si>
  <si>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</si>
  <si>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</si>
  <si>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</si>
  <si>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</si>
  <si>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</si>
  <si>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</si>
  <si>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</si>
  <si>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</si>
  <si>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</si>
  <si>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</si>
  <si>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</si>
  <si>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</si>
  <si>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</si>
  <si>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</si>
  <si>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</si>
  <si>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</si>
  <si>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</si>
  <si>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</si>
  <si>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</si>
  <si>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</si>
  <si>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</si>
  <si>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</si>
  <si>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</si>
  <si>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</si>
  <si>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</si>
  <si>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</si>
  <si>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</si>
  <si>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</si>
  <si>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</si>
  <si>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</si>
  <si>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</si>
  <si>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</si>
  <si>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</si>
  <si>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</si>
  <si>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</si>
  <si>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</si>
  <si>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</si>
  <si>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</si>
  <si>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</si>
  <si>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</si>
  <si>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</si>
  <si>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</si>
  <si>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</si>
  <si>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</si>
  <si>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</si>
  <si>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</si>
  <si>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</si>
  <si>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</si>
  <si>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</si>
  <si>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</si>
  <si>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</si>
  <si>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</si>
  <si>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</si>
  <si>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</si>
  <si>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</si>
  <si>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</si>
  <si>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</si>
  <si>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</si>
  <si>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</si>
  <si>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</si>
  <si>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</si>
  <si>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</si>
  <si>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</si>
  <si>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</si>
  <si>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</si>
  <si>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</si>
  <si>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</si>
  <si>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</si>
  <si>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</si>
  <si>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</si>
  <si>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</si>
  <si>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</si>
  <si>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</si>
  <si>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</si>
  <si>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</si>
  <si>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</si>
  <si>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</si>
  <si>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</si>
  <si>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</si>
  <si>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</si>
  <si>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</si>
  <si>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</si>
  <si>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</si>
  <si>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</si>
  <si>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</si>
  <si>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</si>
  <si>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</si>
  <si>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</si>
  <si>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</si>
  <si>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</si>
  <si>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</si>
  <si>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</si>
  <si>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</si>
  <si>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</si>
  <si>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</si>
  <si>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</si>
  <si>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</si>
  <si>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</si>
  <si>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</si>
  <si>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</si>
  <si>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</si>
  <si>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</si>
  <si>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</si>
  <si>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</si>
  <si>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</si>
  <si>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</si>
  <si>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</si>
  <si>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</si>
  <si>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</si>
  <si>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</si>
  <si>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</si>
  <si>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</si>
  <si>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</si>
  <si>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</si>
  <si>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</si>
  <si>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</si>
  <si>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</si>
  <si>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</si>
  <si>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</si>
  <si>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</si>
  <si>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</si>
  <si>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</si>
  <si>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</si>
  <si>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</si>
  <si>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</si>
  <si>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</si>
  <si>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</si>
  <si>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</si>
  <si>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</si>
  <si>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</si>
  <si>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</si>
  <si>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</si>
  <si>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</si>
  <si>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</si>
  <si>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</si>
  <si>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</si>
  <si>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</si>
  <si>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</si>
  <si>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</si>
  <si>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</si>
  <si>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</si>
  <si>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</si>
  <si>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</si>
  <si>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</si>
  <si>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</si>
  <si>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</si>
  <si>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</si>
  <si>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</si>
  <si>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</si>
  <si>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</si>
  <si>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</si>
  <si>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</si>
  <si>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</si>
  <si>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</si>
  <si>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</si>
  <si>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</si>
  <si>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</si>
  <si>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</si>
  <si>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</si>
  <si>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</si>
  <si>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</si>
  <si>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</si>
  <si>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</si>
  <si>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</si>
  <si>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</si>
  <si>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</si>
  <si>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</si>
  <si>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</si>
  <si>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</si>
  <si>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</si>
  <si>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</si>
  <si>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</si>
  <si>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</si>
  <si>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</si>
  <si>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</si>
  <si>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</si>
  <si>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</si>
  <si>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</si>
  <si>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</si>
  <si>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</si>
  <si>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</si>
  <si>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</si>
  <si>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</si>
  <si>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</si>
  <si>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</si>
  <si>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</si>
  <si>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</si>
  <si>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</si>
  <si>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</si>
  <si>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</si>
  <si>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</si>
  <si>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</si>
  <si>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</si>
  <si>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</si>
  <si>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</si>
  <si>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</si>
  <si>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</si>
  <si>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</si>
  <si>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</si>
  <si>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</si>
  <si>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</si>
  <si>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</si>
  <si>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</si>
  <si>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</si>
  <si>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</si>
  <si>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</si>
  <si>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</si>
  <si>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</si>
  <si>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</si>
  <si>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</si>
  <si>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</si>
  <si>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</si>
  <si>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</si>
  <si>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</si>
  <si>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</si>
  <si>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</si>
  <si>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</si>
  <si>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</si>
  <si>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</si>
  <si>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</si>
  <si>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</si>
  <si>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</si>
  <si>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</si>
  <si>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</si>
  <si>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</si>
  <si>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</si>
  <si>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</si>
  <si>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</si>
  <si>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</si>
  <si>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</si>
  <si>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</si>
  <si>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</si>
  <si>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</si>
  <si>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</si>
  <si>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</si>
  <si>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</si>
  <si>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</si>
  <si>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</si>
  <si>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</si>
  <si>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</si>
  <si>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</si>
  <si>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</si>
  <si>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</si>
  <si>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</si>
  <si>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</si>
  <si>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</si>
  <si>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</si>
  <si>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</si>
  <si>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</si>
  <si>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</si>
  <si>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</si>
  <si>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</si>
  <si>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</si>
  <si>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</si>
  <si>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</si>
  <si>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</si>
  <si>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</si>
  <si>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</si>
  <si>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</si>
  <si>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</si>
  <si>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</si>
  <si>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</si>
  <si>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</si>
  <si>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</si>
  <si>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</si>
  <si>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</si>
  <si>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</si>
  <si>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</si>
  <si>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</si>
  <si>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</si>
  <si>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</si>
  <si>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</si>
  <si>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</si>
  <si>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</si>
  <si>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</si>
  <si>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</si>
  <si>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</si>
  <si>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</si>
  <si>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</si>
  <si>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</si>
  <si>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</si>
  <si>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</si>
  <si>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</si>
  <si>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</si>
  <si>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</si>
  <si>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</si>
  <si>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</si>
  <si>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</si>
  <si>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</si>
  <si>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</si>
  <si>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</si>
  <si>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</si>
  <si>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</si>
  <si>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</si>
  <si>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</si>
  <si>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</si>
  <si>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</si>
  <si>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</si>
  <si>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</si>
  <si>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</si>
  <si>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</si>
  <si>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</si>
  <si>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</si>
  <si>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</si>
  <si>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</si>
  <si>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</si>
  <si>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</si>
  <si>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</si>
  <si>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</si>
  <si>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</si>
  <si>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</si>
  <si>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</si>
  <si>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</si>
  <si>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</si>
  <si>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</si>
  <si>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</si>
  <si>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</si>
  <si>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</si>
  <si>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</si>
  <si>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</si>
  <si>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</si>
  <si>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</si>
  <si>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</si>
  <si>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</si>
  <si>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</si>
  <si>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</si>
  <si>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</si>
  <si>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</si>
  <si>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</si>
  <si>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</si>
  <si>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</si>
  <si>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</si>
  <si>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</si>
  <si>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</si>
  <si>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</si>
  <si>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</si>
  <si>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</si>
  <si>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</si>
  <si>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</si>
  <si>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</si>
  <si>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</si>
  <si>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</si>
  <si>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</si>
  <si>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</si>
  <si>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</si>
  <si>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</si>
  <si>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</si>
  <si>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</si>
  <si>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</si>
  <si>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</si>
  <si>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</si>
  <si>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</si>
  <si>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</si>
  <si>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</si>
  <si>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</si>
  <si>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</si>
  <si>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</si>
  <si>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</si>
  <si>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</si>
  <si>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</si>
  <si>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</si>
  <si>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</si>
  <si>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</si>
  <si>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</si>
  <si>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</si>
  <si>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</si>
  <si>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</si>
  <si>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</si>
  <si>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</si>
  <si>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</si>
  <si>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</si>
  <si>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</si>
  <si>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</si>
  <si>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</si>
  <si>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</si>
  <si>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</si>
  <si>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</si>
  <si>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</si>
  <si>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</si>
  <si>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</si>
  <si>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</si>
  <si>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</si>
  <si>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</si>
  <si>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</si>
  <si>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</si>
  <si>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</si>
  <si>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</si>
  <si>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</si>
  <si>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</si>
  <si>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</si>
  <si>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</si>
  <si>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</si>
  <si>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</si>
  <si>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</si>
  <si>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</si>
  <si>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</si>
  <si>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</si>
  <si>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</si>
  <si>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</si>
  <si>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</si>
  <si>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</si>
  <si>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</si>
  <si>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</si>
  <si>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</si>
  <si>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</si>
  <si>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</si>
  <si>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</si>
  <si>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</si>
  <si>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</si>
  <si>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</si>
  <si>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</si>
  <si>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</si>
  <si>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</si>
  <si>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</si>
  <si>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</si>
  <si>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</si>
  <si>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</si>
  <si>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</si>
  <si>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</si>
  <si>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</si>
  <si>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</si>
  <si>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</si>
  <si>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</si>
  <si>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</si>
  <si>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</si>
  <si>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</si>
  <si>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</si>
  <si>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</si>
  <si>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</si>
  <si>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</si>
  <si>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</si>
  <si>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</si>
  <si>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</si>
  <si>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</si>
  <si>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</si>
  <si>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</si>
  <si>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</si>
  <si>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</si>
  <si>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</si>
  <si>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</si>
  <si>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</si>
  <si>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</si>
  <si>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</si>
  <si>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</si>
  <si>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</si>
  <si>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</si>
  <si>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</si>
  <si>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</si>
  <si>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</si>
  <si>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</si>
  <si>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</si>
  <si>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</si>
  <si>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</si>
  <si>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</si>
  <si>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</si>
  <si>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</si>
  <si>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</si>
  <si>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</si>
  <si>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</si>
  <si>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</si>
  <si>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</si>
  <si>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</si>
  <si>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</si>
  <si>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</si>
  <si>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</si>
  <si>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</si>
  <si>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</si>
  <si>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</si>
  <si>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</si>
  <si>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</si>
  <si>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</si>
  <si>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</si>
  <si>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</si>
  <si>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</si>
  <si>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</si>
  <si>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</si>
  <si>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</si>
  <si>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</si>
  <si>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</si>
  <si>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</si>
  <si>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</si>
  <si>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</si>
  <si>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</si>
  <si>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</si>
  <si>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</si>
  <si>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</si>
  <si>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</si>
  <si>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</si>
  <si>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</si>
  <si>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</si>
  <si>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</si>
  <si>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</si>
  <si>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</si>
  <si>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</si>
  <si>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</si>
  <si>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</si>
  <si>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</si>
  <si>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</si>
  <si>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</si>
  <si>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</si>
  <si>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</si>
  <si>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</si>
  <si>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</si>
  <si>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</si>
  <si>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</si>
  <si>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</si>
  <si>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</si>
  <si>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</si>
  <si>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</si>
  <si>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</si>
  <si>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</si>
  <si>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</si>
  <si>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</si>
  <si>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</si>
  <si>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</si>
  <si>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</si>
  <si>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</si>
  <si>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</si>
  <si>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</si>
  <si>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</si>
  <si>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</si>
  <si>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</si>
  <si>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</si>
  <si>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</si>
  <si>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</si>
  <si>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</si>
  <si>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</si>
  <si>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</si>
  <si>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</si>
  <si>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</si>
  <si>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</si>
  <si>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</si>
  <si>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</si>
  <si>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</si>
  <si>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</si>
  <si>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</si>
  <si>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</si>
  <si>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</si>
  <si>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</si>
  <si>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</si>
  <si>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</si>
  <si>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</si>
  <si>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</si>
  <si>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</si>
  <si>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</si>
  <si>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</si>
  <si>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</si>
  <si>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</si>
  <si>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</si>
  <si>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</si>
  <si>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</si>
  <si>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</si>
  <si>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</si>
  <si>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</si>
  <si>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</si>
  <si>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</si>
  <si>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</si>
  <si>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</si>
  <si>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</si>
  <si>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</si>
  <si>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</si>
  <si>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</si>
  <si>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</si>
  <si>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</si>
  <si>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</si>
  <si>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</si>
  <si>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</si>
  <si>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</si>
  <si>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</si>
  <si>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</si>
  <si>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</si>
  <si>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</si>
  <si>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</si>
  <si>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</si>
  <si>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</si>
  <si>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</si>
  <si>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</si>
  <si>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</si>
  <si>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</si>
  <si>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</si>
  <si>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</si>
  <si>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</si>
  <si>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</si>
  <si>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</si>
  <si>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</si>
  <si>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</si>
  <si>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</si>
  <si>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</si>
  <si>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</si>
  <si>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</si>
  <si>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</si>
  <si>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</si>
  <si>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</si>
  <si>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</si>
  <si>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</si>
  <si>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</si>
  <si>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</si>
  <si>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</si>
  <si>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</si>
  <si>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</si>
  <si>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</si>
  <si>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</si>
  <si>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</si>
  <si>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</si>
  <si>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</si>
  <si>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</si>
  <si>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</si>
  <si>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</si>
  <si>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</si>
  <si>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</si>
  <si>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</si>
  <si>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</si>
  <si>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</si>
  <si>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</si>
  <si>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</si>
  <si>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</si>
  <si>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</si>
  <si>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</si>
  <si>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</si>
  <si>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</si>
  <si>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</si>
  <si>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</si>
  <si>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</si>
  <si>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</si>
  <si>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</si>
  <si>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</si>
  <si>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</si>
  <si>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</si>
  <si>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</si>
  <si>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</si>
  <si>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</si>
  <si>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</si>
  <si>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</si>
  <si>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</si>
  <si>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</si>
  <si>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</si>
  <si>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</si>
  <si>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</si>
  <si>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</si>
  <si>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</si>
  <si>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</si>
  <si>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</si>
  <si>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</si>
  <si>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</si>
  <si>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</si>
  <si>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</si>
  <si>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</si>
  <si>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</si>
  <si>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</si>
  <si>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</si>
  <si>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</si>
  <si>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</si>
  <si>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</si>
  <si>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</si>
  <si>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</si>
  <si>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</si>
  <si>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</si>
  <si>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</si>
  <si>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</si>
  <si>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</si>
  <si>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</si>
  <si>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</si>
  <si>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</si>
  <si>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</si>
  <si>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</si>
  <si>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</si>
  <si>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</si>
  <si>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</si>
  <si>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</si>
  <si>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</si>
  <si>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</si>
  <si>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</si>
  <si>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</si>
  <si>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</si>
  <si>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</si>
  <si>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</si>
  <si>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</si>
  <si>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</si>
  <si>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</si>
  <si>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</si>
  <si>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</si>
  <si>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</si>
  <si>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</si>
  <si>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</si>
  <si>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</si>
  <si>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</si>
  <si>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</si>
  <si>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</si>
  <si>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</si>
  <si>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</si>
  <si>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</si>
  <si>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</si>
  <si>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</si>
  <si>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</si>
  <si>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</si>
  <si>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</si>
  <si>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</si>
  <si>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</si>
  <si>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</si>
  <si>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</si>
  <si>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</si>
  <si>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</si>
  <si>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</si>
  <si>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</si>
  <si>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</si>
  <si>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</si>
  <si>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</si>
  <si>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</si>
  <si>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</si>
  <si>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</si>
  <si>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</si>
  <si>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</si>
  <si>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</si>
  <si>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</si>
  <si>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</si>
  <si>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</si>
  <si>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</si>
  <si>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</si>
  <si>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</si>
  <si>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</si>
  <si>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</si>
  <si>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</si>
  <si>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</si>
  <si>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</si>
  <si>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</si>
  <si>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</si>
  <si>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</si>
  <si>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</si>
  <si>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</si>
  <si>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</si>
  <si>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</si>
  <si>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</si>
  <si>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</si>
  <si>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</si>
  <si>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</si>
  <si>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</si>
  <si>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</si>
  <si>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</si>
  <si>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</si>
  <si>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</si>
  <si>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</si>
  <si>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</si>
  <si>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</si>
  <si>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</si>
  <si>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</si>
  <si>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</si>
  <si>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</si>
  <si>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</si>
  <si>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</si>
  <si>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</si>
  <si>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</si>
  <si>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</si>
  <si>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</si>
  <si>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</si>
  <si>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</si>
  <si>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</si>
  <si>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</si>
  <si>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</si>
  <si>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</si>
  <si>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</si>
  <si>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</si>
  <si>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</si>
  <si>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</si>
  <si>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</si>
  <si>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</si>
  <si>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</si>
  <si>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</si>
  <si>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</si>
  <si>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</si>
  <si>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</si>
  <si>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</si>
  <si>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</si>
  <si>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</si>
  <si>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</si>
  <si>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</si>
  <si>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</si>
  <si>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</si>
  <si>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</si>
  <si>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</si>
  <si>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</si>
  <si>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</si>
  <si>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</si>
  <si>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</si>
  <si>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</si>
  <si>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</si>
  <si>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</si>
  <si>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</si>
  <si>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</si>
  <si>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</si>
  <si>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</si>
  <si>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</si>
  <si>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</si>
  <si>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</si>
  <si>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</si>
  <si>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</si>
  <si>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</si>
  <si>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</si>
  <si>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</si>
  <si>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</si>
  <si>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</si>
  <si>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</si>
  <si>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</si>
  <si>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</si>
  <si>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</si>
  <si>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</si>
  <si>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</si>
  <si>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</si>
  <si>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</si>
  <si>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</si>
  <si>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</si>
  <si>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</si>
  <si>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</si>
  <si>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</si>
  <si>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</si>
  <si>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</si>
  <si>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</si>
  <si>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</si>
  <si>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</si>
  <si>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</si>
  <si>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</si>
  <si>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</si>
  <si>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</si>
  <si>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</si>
  <si>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</si>
  <si>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</si>
  <si>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</si>
  <si>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</si>
  <si>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</si>
  <si>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</si>
  <si>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</si>
  <si>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</si>
  <si>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</si>
  <si>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</si>
  <si>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</si>
  <si>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</si>
  <si>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</si>
  <si>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</si>
  <si>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</si>
  <si>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</si>
  <si>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</si>
  <si>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</si>
  <si>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</si>
  <si>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</si>
  <si>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</si>
  <si>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</si>
  <si>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</si>
  <si>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</si>
  <si>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</si>
  <si>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</si>
  <si>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</si>
  <si>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</si>
  <si>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</si>
  <si>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</si>
  <si>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</si>
  <si>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</si>
  <si>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</si>
  <si>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</si>
  <si>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</si>
  <si>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</si>
  <si>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</si>
  <si>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</si>
  <si>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</si>
  <si>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</si>
  <si>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</si>
  <si>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</si>
  <si>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</si>
  <si>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</si>
  <si>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</si>
  <si>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</si>
  <si>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</si>
  <si>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</si>
  <si>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</si>
  <si>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</si>
  <si>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</si>
  <si>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</si>
  <si>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</si>
  <si>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</si>
  <si>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</si>
  <si>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</si>
  <si>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</si>
  <si>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</si>
  <si>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</si>
  <si>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</si>
  <si>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</si>
  <si>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</si>
  <si>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</si>
  <si>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</si>
  <si>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</si>
  <si>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</si>
  <si>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</si>
  <si>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</si>
  <si>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</si>
  <si>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</si>
  <si>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</si>
  <si>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</si>
  <si>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</si>
  <si>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</si>
  <si>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</si>
  <si>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</si>
  <si>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</si>
  <si>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</si>
  <si>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</si>
  <si>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</si>
  <si>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</si>
  <si>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</si>
  <si>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</si>
  <si>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</si>
  <si>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</si>
  <si>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</si>
  <si>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</si>
  <si>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</si>
  <si>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</si>
  <si>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</si>
  <si>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</si>
  <si>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</si>
  <si>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</si>
  <si>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</si>
  <si>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</si>
  <si>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</si>
  <si>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</si>
  <si>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</si>
  <si>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</si>
  <si>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</si>
  <si>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</si>
  <si>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</si>
  <si>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</si>
  <si>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</si>
  <si>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</si>
  <si>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</si>
  <si>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</si>
  <si>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</si>
  <si>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</si>
  <si>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</si>
  <si>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</si>
  <si>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</si>
  <si>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</si>
  <si>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</si>
  <si>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</si>
  <si>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</si>
  <si>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</si>
  <si>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</si>
  <si>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</si>
  <si>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</si>
  <si>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</si>
  <si>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</si>
  <si>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</si>
  <si>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</si>
  <si>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</si>
  <si>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</si>
  <si>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</si>
  <si>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</si>
  <si>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</si>
  <si>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</si>
  <si>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</si>
  <si>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</si>
  <si>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</si>
  <si>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</si>
  <si>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</si>
  <si>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</si>
  <si>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</si>
  <si>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</si>
  <si>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</si>
  <si>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</si>
  <si>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</si>
  <si>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</si>
  <si>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</si>
  <si>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</si>
  <si>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</si>
  <si>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</si>
  <si>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</si>
  <si>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</si>
  <si>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</si>
  <si>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</si>
  <si>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</si>
  <si>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</si>
  <si>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</si>
  <si>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</si>
  <si>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</si>
  <si>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</si>
  <si>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</si>
  <si>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</si>
  <si>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</si>
  <si>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</si>
  <si>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</si>
  <si>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</si>
  <si>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</si>
  <si>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</si>
  <si>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</si>
  <si>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</si>
  <si>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</si>
  <si>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</si>
  <si>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</si>
  <si>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</si>
  <si>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</si>
  <si>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</si>
  <si>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</si>
  <si>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</si>
  <si>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</si>
  <si>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</si>
  <si>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</si>
  <si>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</si>
  <si>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</si>
  <si>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</si>
  <si>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</si>
  <si>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</si>
  <si>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</si>
  <si>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</si>
  <si>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</si>
  <si>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</si>
  <si>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</si>
  <si>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</si>
  <si>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</si>
  <si>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</si>
  <si>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</si>
  <si>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</si>
  <si>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</si>
  <si>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</si>
  <si>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</si>
  <si>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</si>
  <si>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</si>
  <si>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</si>
  <si>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</si>
  <si>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</si>
  <si>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</si>
  <si>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</si>
  <si>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</si>
  <si>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</si>
  <si>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</si>
  <si>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</si>
  <si>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</si>
  <si>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</si>
  <si>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</si>
  <si>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</si>
  <si>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</si>
  <si>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</si>
  <si>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</si>
  <si>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</si>
  <si>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</si>
  <si>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</si>
  <si>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</si>
  <si>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</si>
  <si>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</si>
  <si>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</si>
  <si>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</si>
  <si>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</si>
  <si>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</si>
  <si>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</si>
  <si>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</si>
  <si>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</si>
  <si>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</si>
  <si>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</si>
  <si>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</si>
  <si>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</si>
  <si>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</si>
  <si>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</si>
  <si>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</si>
  <si>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</si>
  <si>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</si>
  <si>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</si>
  <si>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</si>
  <si>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</si>
  <si>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</si>
  <si>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</si>
  <si>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</si>
  <si>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</si>
  <si>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</si>
  <si>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</si>
  <si>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</si>
  <si>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</si>
  <si>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</si>
  <si>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</si>
  <si>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</si>
  <si>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</si>
  <si>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</si>
  <si>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</si>
  <si>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</si>
  <si>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</si>
  <si>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</si>
  <si>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</si>
  <si>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</si>
  <si>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</si>
  <si>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</si>
  <si>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</si>
  <si>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</si>
  <si>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</si>
  <si>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</si>
  <si>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</si>
  <si>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</si>
  <si>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</si>
  <si>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</si>
  <si>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</si>
  <si>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</si>
  <si>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</si>
  <si>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</si>
  <si>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</si>
  <si>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</si>
  <si>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</si>
  <si>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</si>
  <si>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</si>
  <si>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</si>
  <si>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</si>
  <si>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</si>
  <si>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</si>
  <si>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</si>
  <si>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</si>
  <si>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</si>
  <si>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</si>
  <si>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</si>
  <si>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</si>
  <si>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</si>
  <si>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</si>
  <si>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</si>
  <si>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</si>
  <si>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</si>
  <si>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</si>
  <si>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</si>
  <si>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</si>
  <si>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</si>
  <si>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</si>
  <si>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</si>
  <si>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</si>
  <si>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</si>
  <si>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</si>
  <si>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</si>
  <si>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</si>
  <si>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</si>
  <si>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</si>
  <si>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</si>
  <si>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</si>
  <si>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</si>
  <si>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</si>
  <si>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</si>
  <si>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</si>
  <si>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</si>
  <si>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</si>
  <si>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</si>
  <si>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</si>
  <si>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</si>
  <si>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</si>
  <si>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</si>
  <si>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</si>
  <si>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</si>
  <si>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</si>
  <si>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</si>
  <si>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</si>
  <si>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</si>
  <si>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</si>
  <si>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</si>
  <si>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</si>
  <si>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</si>
  <si>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</si>
  <si>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</si>
  <si>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</si>
  <si>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</si>
  <si>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</si>
  <si>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</si>
  <si>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</si>
  <si>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</si>
  <si>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</si>
  <si>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</si>
  <si>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</si>
  <si>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</si>
  <si>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</si>
  <si>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</si>
  <si>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</si>
  <si>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</si>
  <si>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</si>
  <si>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</si>
  <si>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</si>
  <si>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</si>
  <si>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</si>
  <si>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</si>
  <si>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</si>
  <si>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</si>
  <si>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</si>
  <si>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</si>
  <si>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</si>
  <si>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</si>
  <si>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</si>
  <si>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</si>
  <si>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</si>
  <si>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</si>
  <si>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</si>
  <si>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</si>
  <si>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</si>
  <si>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</si>
  <si>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</si>
  <si>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</si>
  <si>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</si>
  <si>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</si>
  <si>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</si>
  <si>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</si>
  <si>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</si>
  <si>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</si>
  <si>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</si>
  <si>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</si>
  <si>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</si>
  <si>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</si>
  <si>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</si>
  <si>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</si>
  <si>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</si>
  <si>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</si>
  <si>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</si>
  <si>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</si>
  <si>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</si>
  <si>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</si>
  <si>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</si>
  <si>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</si>
  <si>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</si>
  <si>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</si>
  <si>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</si>
  <si>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</si>
  <si>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</si>
  <si>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</si>
  <si>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</si>
  <si>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</si>
  <si>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</si>
  <si>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</si>
  <si>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</si>
  <si>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</si>
  <si>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</si>
  <si>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</si>
  <si>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</si>
  <si>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</si>
  <si>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</si>
  <si>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</si>
  <si>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</si>
  <si>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</si>
  <si>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</si>
  <si>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</si>
  <si>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</si>
  <si>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</si>
  <si>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</si>
  <si>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</si>
  <si>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</si>
  <si>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</si>
  <si>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</si>
  <si>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</si>
  <si>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</si>
  <si>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</si>
  <si>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</si>
  <si>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</si>
  <si>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</si>
  <si>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</si>
  <si>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</si>
  <si>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</si>
  <si>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</si>
  <si>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</si>
  <si>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</si>
  <si>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</si>
  <si>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</si>
  <si>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</si>
  <si>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</si>
  <si>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</si>
  <si>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</si>
  <si>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</si>
  <si>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</si>
  <si>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</si>
  <si>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</si>
  <si>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</si>
  <si>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</si>
  <si>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</si>
  <si>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</si>
  <si>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</si>
  <si>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</si>
  <si>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</si>
  <si>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</si>
  <si>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</si>
  <si>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</si>
  <si>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</si>
  <si>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</si>
  <si>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</si>
  <si>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</si>
  <si>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</si>
  <si>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</si>
  <si>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</si>
  <si>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</si>
  <si>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</si>
  <si>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</si>
  <si>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</si>
  <si>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</si>
  <si>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</si>
  <si>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</si>
  <si>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</si>
  <si>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</si>
  <si>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</si>
  <si>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</si>
  <si>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</si>
  <si>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</si>
  <si>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</si>
  <si>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</si>
  <si>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</si>
  <si>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</si>
  <si>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</si>
  <si>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</si>
  <si>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</si>
  <si>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</si>
  <si>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</si>
  <si>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</si>
  <si>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</si>
  <si>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</si>
  <si>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</si>
  <si>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</si>
  <si>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</si>
  <si>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</si>
  <si>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</si>
  <si>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</si>
  <si>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</si>
  <si>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</si>
  <si>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</si>
  <si>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</si>
  <si>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</si>
  <si>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</si>
  <si>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</si>
  <si>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</si>
  <si>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</si>
  <si>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</si>
  <si>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</si>
  <si>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</si>
  <si>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</si>
  <si>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</si>
  <si>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</si>
  <si>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</si>
  <si>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</si>
  <si>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</si>
  <si>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</si>
  <si>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</si>
  <si>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</si>
  <si>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</si>
  <si>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</si>
  <si>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</si>
  <si>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</si>
  <si>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</si>
  <si>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</si>
  <si>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</si>
  <si>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</si>
  <si>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</si>
  <si>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</si>
  <si>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</si>
  <si>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</si>
  <si>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</si>
  <si>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</si>
  <si>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</si>
  <si>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</si>
  <si>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</si>
  <si>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</si>
  <si>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</si>
  <si>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</si>
  <si>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</si>
  <si>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</si>
  <si>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</si>
  <si>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</si>
  <si>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</si>
  <si>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</si>
  <si>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</si>
  <si>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</si>
  <si>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</si>
  <si>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</si>
  <si>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</si>
  <si>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</si>
  <si>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</si>
  <si>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</si>
  <si>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</si>
  <si>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</si>
  <si>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</si>
  <si>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</si>
  <si>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</si>
  <si>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</si>
  <si>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</si>
  <si>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</si>
  <si>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</si>
  <si>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</si>
  <si>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</si>
  <si>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</si>
  <si>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</si>
  <si>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</si>
  <si>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</si>
  <si>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</si>
  <si>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</si>
  <si>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</si>
  <si>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</si>
  <si>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</si>
  <si>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</si>
  <si>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</si>
  <si>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</si>
  <si>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</si>
  <si>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</si>
  <si>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</si>
  <si>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</si>
  <si>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</si>
  <si>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</si>
  <si>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</si>
  <si>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</si>
  <si>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</si>
  <si>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</si>
  <si>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</si>
  <si>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</si>
  <si>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</si>
  <si>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</si>
  <si>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</si>
  <si>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</si>
  <si>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</si>
  <si>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</si>
  <si>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</si>
  <si>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</si>
  <si>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</si>
  <si>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</si>
  <si>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</si>
  <si>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</si>
  <si>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</si>
  <si>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</si>
  <si>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</si>
  <si>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</si>
  <si>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</si>
  <si>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</si>
  <si>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</si>
  <si>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</si>
  <si>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</si>
  <si>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</si>
  <si>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</si>
  <si>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</si>
  <si>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</si>
  <si>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</si>
  <si>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</si>
  <si>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</si>
  <si>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</si>
  <si>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</si>
  <si>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</si>
  <si>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</si>
  <si>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</si>
  <si>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</si>
  <si>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</si>
  <si>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</si>
  <si>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</si>
  <si>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</si>
  <si>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</si>
  <si>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</si>
  <si>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</si>
  <si>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</si>
  <si>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</si>
  <si>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</si>
  <si>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</si>
  <si>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</si>
  <si>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</si>
  <si>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</si>
  <si>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</si>
  <si>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</si>
  <si>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</si>
  <si>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</si>
  <si>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</si>
  <si>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</si>
  <si>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</si>
  <si>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</si>
  <si>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</si>
  <si>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</si>
  <si>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</si>
  <si>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</si>
  <si>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</si>
  <si>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</si>
  <si>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</si>
  <si>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</si>
  <si>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</si>
  <si>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</si>
  <si>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</si>
  <si>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</si>
  <si>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</si>
  <si>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</si>
  <si>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</si>
  <si>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</si>
  <si>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</si>
  <si>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</si>
  <si>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</si>
  <si>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</si>
  <si>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</si>
  <si>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</si>
  <si>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</si>
  <si>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</si>
  <si>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</si>
  <si>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</si>
  <si>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</si>
  <si>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</si>
  <si>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</si>
  <si>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</si>
  <si>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</si>
  <si>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</si>
  <si>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</si>
  <si>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</si>
  <si>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</si>
  <si>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</si>
  <si>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</si>
  <si>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</si>
  <si>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</si>
  <si>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</si>
  <si>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</si>
  <si>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</si>
  <si>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</si>
  <si>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</si>
  <si>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</si>
  <si>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</si>
  <si>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</si>
  <si>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</si>
  <si>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</si>
  <si>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</si>
  <si>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</si>
  <si>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</si>
  <si>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</si>
  <si>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</si>
  <si>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</si>
  <si>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</si>
  <si>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</si>
  <si>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</si>
  <si>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</si>
  <si>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</si>
  <si>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</si>
  <si>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</si>
  <si>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</si>
  <si>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</si>
  <si>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</si>
  <si>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</si>
  <si>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</si>
  <si>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</si>
  <si>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</si>
  <si>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</si>
  <si>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</si>
  <si>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</si>
  <si>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</si>
  <si>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</si>
  <si>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</si>
  <si>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</si>
  <si>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</si>
  <si>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</si>
  <si>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</si>
  <si>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</si>
  <si>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</si>
  <si>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</si>
  <si>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</si>
  <si>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</si>
  <si>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</si>
  <si>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</si>
  <si>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</si>
  <si>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</si>
  <si>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</si>
  <si>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</si>
  <si>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</si>
  <si>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</si>
  <si>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</si>
  <si>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</si>
  <si>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</si>
  <si>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</si>
  <si>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</si>
  <si>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</si>
  <si>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</si>
  <si>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</si>
  <si>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</si>
  <si>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</si>
  <si>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</si>
  <si>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</si>
  <si>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</si>
  <si>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</si>
  <si>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</si>
  <si>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</si>
  <si>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</si>
  <si>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</si>
  <si>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</si>
  <si>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</si>
  <si>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</si>
  <si>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</si>
  <si>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</si>
  <si>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</si>
  <si>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</si>
  <si>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</si>
  <si>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</si>
  <si>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</si>
  <si>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</si>
  <si>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</si>
  <si>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</si>
  <si>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</si>
  <si>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</si>
  <si>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</si>
  <si>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</si>
  <si>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</si>
  <si>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</si>
  <si>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</si>
  <si>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</si>
  <si>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</si>
  <si>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</si>
  <si>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</si>
  <si>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</si>
  <si>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</si>
  <si>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</si>
  <si>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</si>
  <si>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</si>
  <si>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</si>
  <si>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</si>
  <si>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</si>
  <si>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</si>
  <si>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</si>
  <si>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</si>
  <si>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</si>
  <si>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</si>
  <si>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</si>
  <si>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</si>
  <si>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</si>
  <si>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</si>
  <si>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</si>
  <si>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</si>
  <si>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</si>
  <si>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</si>
  <si>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</si>
  <si>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</si>
  <si>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</si>
  <si>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</si>
  <si>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</si>
  <si>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</si>
  <si>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</si>
  <si>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</si>
  <si>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</si>
  <si>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</si>
  <si>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</si>
  <si>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</si>
  <si>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</si>
  <si>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</si>
  <si>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</si>
  <si>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</si>
  <si>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</si>
  <si>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</si>
  <si>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</si>
  <si>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</si>
  <si>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</si>
  <si>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</si>
  <si>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</si>
  <si>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</si>
  <si>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</si>
  <si>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</si>
  <si>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</si>
  <si>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</si>
  <si>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</si>
  <si>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</si>
  <si>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</si>
  <si>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</si>
  <si>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</si>
  <si>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</si>
  <si>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</si>
  <si>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</si>
  <si>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</si>
  <si>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</si>
  <si>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</si>
  <si>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</si>
  <si>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</si>
  <si>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</si>
  <si>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</si>
  <si>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</si>
  <si>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</si>
  <si>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</si>
  <si>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</si>
  <si>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</si>
  <si>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</si>
  <si>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</si>
  <si>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</si>
  <si>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</si>
  <si>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</si>
  <si>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</si>
  <si>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</si>
  <si>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</si>
  <si>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</si>
  <si>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</si>
  <si>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</si>
  <si>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</si>
  <si>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</si>
  <si>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</si>
  <si>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</si>
  <si>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</si>
  <si>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</si>
  <si>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</si>
  <si>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</si>
  <si>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</si>
  <si>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</si>
  <si>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</si>
  <si>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</si>
  <si>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</si>
  <si>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</si>
  <si>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</si>
  <si>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</si>
  <si>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</si>
  <si>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</si>
  <si>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</si>
  <si>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</si>
  <si>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</si>
  <si>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</si>
  <si>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</si>
  <si>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</si>
  <si>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</si>
  <si>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</si>
  <si>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</si>
  <si>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</si>
  <si>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</si>
  <si>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</si>
  <si>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</si>
  <si>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</si>
  <si>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</si>
  <si>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</si>
  <si>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</si>
  <si>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</si>
  <si>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</si>
  <si>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</si>
  <si>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</si>
  <si>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</si>
  <si>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</si>
  <si>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</si>
  <si>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</si>
  <si>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</si>
  <si>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</si>
  <si>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</si>
  <si>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</si>
  <si>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</si>
  <si>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</si>
  <si>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</si>
  <si>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</si>
  <si>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</si>
  <si>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</si>
  <si>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</si>
  <si>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</si>
  <si>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</si>
  <si>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</si>
  <si>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</si>
  <si>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</si>
  <si>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</si>
  <si>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</si>
  <si>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</si>
  <si>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</si>
  <si>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</si>
  <si>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</si>
  <si>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</si>
  <si>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</si>
  <si>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</si>
  <si>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</si>
  <si>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</si>
  <si>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</si>
  <si>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</si>
  <si>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</si>
  <si>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</si>
  <si>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</si>
  <si>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</si>
  <si>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</si>
  <si>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</si>
  <si>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</si>
  <si>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</si>
  <si>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</si>
  <si>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</si>
  <si>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</si>
  <si>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</si>
  <si>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</si>
  <si>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</si>
  <si>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</si>
  <si>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</si>
  <si>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</si>
  <si>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</si>
  <si>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</si>
  <si>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</si>
  <si>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</si>
  <si>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</si>
  <si>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</si>
  <si>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</si>
  <si>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</si>
  <si>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</si>
  <si>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</si>
  <si>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</si>
  <si>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</si>
  <si>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</si>
  <si>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</si>
  <si>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</si>
  <si>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</si>
  <si>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</si>
  <si>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</si>
  <si>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</si>
  <si>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</si>
  <si>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</si>
  <si>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</si>
  <si>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</si>
  <si>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</si>
  <si>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</si>
  <si>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</si>
  <si>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</si>
  <si>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</si>
  <si>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</si>
  <si>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</si>
  <si>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</si>
  <si>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</si>
  <si>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</si>
  <si>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</si>
  <si>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</si>
  <si>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</si>
  <si>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</si>
  <si>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</si>
  <si>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</si>
  <si>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</si>
  <si>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</si>
  <si>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</si>
  <si>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</si>
  <si>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</si>
  <si>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</si>
  <si>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</si>
  <si>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</si>
  <si>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</si>
  <si>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</si>
  <si>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</si>
  <si>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</si>
  <si>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</si>
  <si>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</si>
  <si>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</si>
  <si>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</si>
  <si>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</si>
  <si>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</si>
  <si>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</si>
  <si>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</si>
  <si>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</si>
  <si>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</si>
  <si>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</si>
  <si>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</si>
  <si>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</si>
  <si>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</si>
  <si>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</si>
  <si>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</si>
  <si>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</si>
  <si>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</si>
  <si>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</si>
  <si>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</si>
  <si>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</si>
  <si>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</si>
  <si>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</si>
  <si>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</si>
  <si>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</si>
  <si>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</si>
  <si>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</si>
  <si>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</si>
  <si>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</si>
  <si>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</si>
  <si>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</si>
  <si>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</si>
  <si>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</si>
  <si>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</si>
  <si>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</si>
  <si>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</si>
  <si>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</si>
  <si>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</si>
  <si>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</si>
  <si>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</si>
  <si>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</si>
  <si>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</si>
  <si>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</si>
  <si>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</si>
  <si>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</si>
  <si>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</si>
  <si>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</si>
  <si>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</si>
  <si>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</si>
  <si>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</si>
  <si>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</si>
  <si>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</si>
  <si>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</si>
  <si>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</si>
  <si>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</si>
  <si>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</si>
  <si>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</si>
  <si>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</si>
  <si>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</si>
  <si>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</si>
  <si>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</si>
  <si>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</si>
  <si>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</si>
  <si>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</si>
  <si>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</si>
  <si>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</si>
  <si>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</si>
  <si>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</si>
  <si>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</si>
  <si>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</si>
  <si>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</si>
  <si>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</si>
  <si>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</si>
  <si>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</si>
  <si>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</si>
  <si>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</si>
  <si>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</si>
  <si>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</si>
  <si>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</si>
  <si>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</si>
  <si>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</si>
  <si>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</si>
  <si>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</si>
  <si>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</si>
  <si>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</si>
  <si>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</si>
  <si>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</si>
  <si>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</si>
  <si>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</si>
  <si>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</si>
  <si>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</si>
  <si>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</si>
  <si>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</si>
  <si>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</si>
  <si>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</si>
  <si>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</si>
  <si>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</si>
  <si>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</si>
  <si>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</si>
  <si>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</si>
  <si>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</si>
  <si>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</si>
  <si>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</si>
  <si>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</si>
  <si>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</si>
  <si>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</si>
  <si>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</si>
  <si>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</si>
  <si>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</si>
  <si>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</si>
  <si>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</si>
  <si>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</si>
  <si>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</si>
  <si>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</si>
  <si>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</si>
  <si>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</si>
  <si>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</si>
  <si>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</si>
  <si>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</si>
  <si>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</si>
  <si>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</si>
  <si>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</si>
  <si>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</si>
  <si>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</si>
  <si>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</si>
  <si>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</si>
  <si>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</si>
  <si>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</si>
  <si>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</si>
  <si>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</si>
  <si>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</si>
  <si>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</si>
  <si>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</si>
  <si>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</si>
  <si>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</si>
  <si>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</si>
  <si>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</si>
  <si>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</si>
  <si>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</si>
  <si>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</si>
  <si>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</si>
  <si>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</si>
  <si>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</si>
  <si>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</si>
  <si>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</si>
  <si>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</si>
  <si>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</si>
  <si>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</si>
  <si>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</si>
  <si>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</si>
  <si>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</si>
  <si>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</si>
  <si>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</si>
  <si>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</si>
  <si>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</si>
  <si>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</si>
  <si>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</si>
  <si>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</si>
  <si>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</si>
  <si>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</si>
  <si>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</si>
  <si>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</si>
  <si>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</si>
  <si>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</si>
  <si>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</si>
  <si>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</si>
  <si>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</si>
  <si>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</si>
  <si>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</si>
  <si>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</si>
  <si>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</si>
  <si>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</si>
  <si>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</si>
  <si>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</si>
  <si>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</si>
  <si>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</si>
  <si>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</si>
  <si>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</si>
  <si>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</si>
  <si>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</si>
  <si>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</si>
  <si>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</si>
  <si>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</si>
  <si>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</si>
  <si>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</si>
  <si>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</si>
  <si>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</si>
  <si>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</si>
  <si>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</si>
  <si>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</si>
  <si>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</si>
  <si>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</si>
  <si>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</si>
  <si>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</si>
  <si>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</si>
  <si>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</si>
  <si>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</si>
  <si>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</si>
  <si>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</si>
  <si>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</si>
  <si>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</si>
  <si>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</si>
  <si>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</si>
  <si>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</si>
  <si>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</si>
  <si>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</si>
  <si>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</si>
  <si>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</si>
  <si>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</si>
  <si>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</si>
  <si>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</si>
  <si>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</si>
  <si>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</si>
  <si>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</si>
  <si>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</si>
  <si>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</si>
  <si>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</si>
  <si>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</si>
  <si>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</si>
  <si>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</si>
  <si>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</si>
  <si>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</si>
  <si>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</si>
  <si>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</si>
  <si>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</si>
  <si>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</si>
  <si>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</si>
  <si>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</si>
  <si>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</si>
  <si>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</si>
  <si>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</si>
  <si>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</si>
  <si>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</si>
  <si>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</si>
  <si>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</si>
  <si>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</si>
  <si>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</si>
  <si>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</si>
  <si>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</si>
  <si>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</si>
  <si>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</si>
  <si>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</si>
  <si>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</si>
  <si>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</si>
  <si>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</si>
  <si>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</si>
  <si>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</si>
  <si>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</si>
  <si>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</si>
  <si>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</si>
  <si>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</si>
  <si>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</si>
  <si>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</si>
  <si>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</si>
  <si>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</si>
  <si>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</si>
  <si>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</si>
  <si>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</si>
  <si>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</si>
  <si>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</si>
  <si>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</si>
  <si>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</si>
  <si>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</si>
  <si>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</si>
  <si>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</si>
  <si>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</si>
  <si>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</si>
  <si>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</si>
  <si>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</si>
  <si>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</si>
  <si>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</si>
  <si>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</si>
  <si>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</si>
  <si>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</si>
  <si>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</si>
  <si>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</si>
  <si>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</si>
  <si>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</si>
  <si>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</si>
  <si>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</si>
  <si>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</si>
  <si>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</si>
  <si>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</si>
  <si>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</si>
  <si>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</si>
  <si>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</si>
  <si>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</si>
  <si>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</si>
  <si>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</si>
  <si>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</si>
  <si>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</si>
  <si>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</si>
  <si>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</si>
  <si>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</si>
  <si>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</si>
  <si>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</si>
  <si>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</si>
  <si>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</si>
  <si>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</si>
  <si>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</si>
  <si>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</si>
  <si>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</si>
  <si>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</si>
  <si>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</si>
  <si>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</si>
  <si>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</si>
  <si>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</si>
  <si>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</si>
  <si>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</si>
  <si>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</si>
  <si>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</si>
  <si>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</si>
  <si>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</si>
  <si>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</si>
  <si>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</si>
  <si>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</si>
  <si>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</si>
  <si>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</si>
  <si>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</si>
  <si>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</si>
  <si>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</si>
  <si>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</si>
  <si>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</si>
  <si>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</si>
  <si>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</si>
  <si>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</si>
  <si>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</si>
  <si>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</si>
  <si>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</si>
  <si>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</si>
  <si>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</si>
  <si>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</si>
  <si>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</si>
  <si>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</si>
  <si>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</si>
  <si>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</si>
  <si>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</si>
  <si>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</si>
  <si>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</si>
  <si>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</si>
  <si>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</si>
  <si>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</si>
  <si>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</si>
  <si>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</si>
  <si>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</si>
  <si>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</si>
  <si>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</si>
  <si>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</si>
  <si>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</si>
  <si>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</si>
  <si>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</si>
  <si>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</si>
  <si>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</si>
  <si>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</si>
  <si>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</si>
  <si>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</si>
  <si>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</si>
  <si>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</si>
  <si>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</si>
  <si>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</si>
  <si>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</si>
  <si>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</si>
  <si>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</si>
  <si>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</si>
  <si>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</si>
  <si>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</si>
  <si>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</si>
  <si>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</si>
  <si>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</si>
  <si>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</si>
  <si>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</si>
  <si>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</si>
  <si>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</si>
  <si>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</si>
  <si>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</si>
  <si>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</si>
  <si>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</si>
  <si>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</si>
  <si>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</si>
  <si>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</si>
  <si>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</si>
  <si>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</si>
  <si>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</si>
  <si>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</si>
  <si>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</si>
  <si>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</si>
  <si>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</si>
  <si>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</si>
  <si>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</si>
  <si>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</si>
  <si>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</si>
  <si>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</si>
  <si>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</si>
  <si>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</si>
  <si>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</si>
  <si>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</si>
  <si>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</si>
  <si>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</si>
  <si>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</si>
  <si>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</si>
  <si>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</si>
  <si>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</si>
  <si>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</si>
  <si>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</si>
  <si>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</si>
  <si>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</si>
  <si>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</si>
  <si>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</si>
  <si>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</si>
  <si>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</si>
  <si>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</si>
  <si>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</si>
  <si>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</si>
  <si>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</si>
  <si>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</si>
  <si>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</si>
  <si>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</si>
  <si>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</si>
  <si>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</si>
  <si>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</si>
  <si>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</si>
  <si>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</si>
  <si>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</si>
  <si>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</si>
  <si>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</si>
  <si>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</si>
  <si>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</si>
  <si>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</si>
  <si>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</si>
  <si>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</si>
  <si>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</si>
  <si>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</si>
  <si>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</si>
  <si>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</si>
  <si>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</si>
  <si>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</si>
  <si>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</si>
  <si>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</si>
  <si>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</si>
  <si>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</si>
  <si>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</si>
  <si>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</si>
  <si>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</si>
  <si>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</si>
  <si>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</si>
  <si>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</si>
  <si>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</si>
  <si>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</si>
  <si>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</si>
  <si>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</si>
  <si>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</si>
  <si>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</si>
  <si>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</si>
  <si>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</si>
  <si>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</si>
  <si>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</si>
  <si>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</si>
  <si>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</si>
  <si>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</si>
  <si>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</si>
  <si>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</si>
  <si>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</si>
  <si>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</si>
  <si>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</si>
  <si>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</si>
  <si>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</si>
  <si>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</si>
  <si>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</si>
  <si>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</si>
  <si>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</si>
  <si>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</si>
  <si>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</si>
  <si>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</si>
  <si>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</si>
  <si>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</si>
  <si>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</si>
  <si>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</si>
  <si>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</si>
  <si>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</si>
  <si>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</si>
  <si>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</si>
  <si>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</si>
  <si>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</si>
  <si>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</si>
  <si>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</si>
  <si>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</si>
  <si>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</si>
  <si>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</si>
  <si>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</si>
  <si>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</si>
  <si>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</si>
  <si>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</si>
  <si>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</si>
  <si>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</si>
  <si>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</si>
  <si>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</si>
  <si>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</si>
  <si>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</si>
  <si>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</si>
  <si>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</si>
  <si>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</si>
  <si>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</si>
  <si>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</si>
  <si>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</si>
  <si>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</si>
  <si>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</si>
  <si>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</si>
  <si>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</si>
  <si>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</si>
  <si>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</si>
  <si>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</si>
  <si>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</si>
  <si>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</si>
  <si>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</si>
  <si>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</si>
  <si>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</si>
  <si>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</si>
  <si>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</si>
  <si>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</si>
  <si>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</si>
  <si>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</si>
  <si>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</si>
  <si>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</si>
  <si>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</si>
  <si>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</si>
  <si>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</si>
  <si>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</si>
  <si>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</si>
  <si>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</si>
  <si>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</si>
  <si>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</si>
  <si>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</si>
  <si>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</si>
  <si>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</si>
  <si>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</si>
  <si>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</si>
  <si>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</si>
  <si>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</si>
  <si>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</si>
  <si>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</si>
  <si>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</si>
  <si>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</si>
  <si>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</si>
  <si>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</si>
  <si>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</si>
  <si>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</si>
  <si>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</si>
  <si>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</si>
  <si>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</si>
  <si>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</si>
  <si>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</si>
  <si>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</si>
  <si>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</si>
  <si>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</si>
  <si>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</si>
  <si>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</si>
  <si>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</si>
  <si>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</si>
  <si>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</si>
  <si>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</si>
  <si>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</si>
  <si>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</si>
  <si>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</si>
  <si>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</si>
  <si>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</si>
  <si>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</si>
  <si>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</si>
  <si>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</si>
  <si>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</si>
  <si>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</si>
  <si>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</si>
  <si>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</si>
  <si>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</si>
  <si>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</si>
  <si>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</si>
  <si>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</si>
  <si>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</si>
  <si>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</si>
  <si>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</si>
  <si>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</si>
  <si>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</si>
  <si>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</si>
  <si>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</si>
  <si>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</si>
  <si>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</si>
  <si>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</si>
  <si>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</si>
  <si>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</si>
  <si>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</si>
  <si>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</si>
  <si>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</si>
  <si>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</si>
  <si>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</si>
  <si>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</si>
  <si>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</si>
  <si>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</si>
  <si>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</si>
  <si>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</si>
  <si>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</si>
  <si>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</si>
  <si>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</si>
  <si>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</si>
  <si>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</si>
  <si>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</si>
  <si>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</si>
  <si>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</si>
  <si>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</si>
  <si>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</si>
  <si>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</si>
  <si>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</si>
  <si>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</si>
  <si>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</si>
  <si>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</si>
  <si>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</si>
  <si>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</si>
  <si>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</si>
  <si>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</si>
  <si>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</si>
  <si>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</si>
  <si>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</si>
  <si>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</si>
  <si>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</si>
  <si>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</si>
  <si>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</si>
  <si>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</si>
  <si>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</si>
  <si>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</si>
  <si>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</si>
  <si>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</si>
  <si>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</si>
  <si>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</si>
  <si>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</si>
  <si>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</si>
  <si>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</si>
  <si>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</si>
  <si>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</si>
  <si>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</si>
  <si>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</si>
  <si>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</si>
  <si>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</si>
  <si>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</si>
  <si>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</si>
  <si>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</si>
  <si>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</si>
  <si>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</si>
  <si>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</si>
  <si>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</si>
  <si>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</si>
  <si>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</si>
  <si>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</si>
  <si>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</si>
  <si>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</si>
  <si>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</si>
  <si>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</si>
  <si>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</si>
  <si>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</si>
  <si>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</si>
  <si>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</si>
  <si>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</si>
  <si>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</si>
  <si>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</si>
  <si>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</si>
  <si>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</si>
  <si>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</si>
  <si>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</si>
  <si>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</si>
  <si>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</si>
  <si>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</si>
  <si>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</si>
  <si>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</si>
  <si>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</si>
  <si>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</si>
  <si>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</si>
  <si>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</si>
  <si>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</si>
  <si>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</si>
  <si>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</si>
  <si>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</si>
  <si>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</si>
  <si>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</si>
  <si>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</si>
  <si>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</si>
  <si>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</si>
  <si>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</si>
  <si>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</si>
  <si>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</si>
  <si>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</si>
  <si>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</si>
  <si>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</si>
  <si>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</si>
  <si>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</si>
  <si>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</si>
  <si>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</si>
  <si>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</si>
  <si>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</si>
  <si>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</si>
  <si>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</si>
  <si>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</si>
  <si>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</si>
  <si>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</si>
  <si>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</si>
  <si>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</si>
  <si>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</si>
  <si>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</si>
  <si>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</si>
  <si>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</si>
  <si>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</si>
  <si>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</si>
  <si>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</si>
  <si>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</si>
  <si>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</si>
  <si>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</si>
  <si>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</si>
  <si>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</si>
  <si>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</si>
  <si>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</si>
  <si>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</si>
  <si>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</si>
  <si>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</si>
  <si>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</si>
  <si>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</si>
  <si>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</si>
  <si>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</si>
  <si>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</si>
  <si>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</si>
  <si>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</si>
  <si>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</si>
  <si>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</si>
  <si>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</si>
  <si>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</si>
  <si>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</si>
  <si>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</si>
  <si>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</si>
  <si>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</si>
  <si>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</si>
  <si>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</si>
  <si>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</si>
  <si>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</si>
  <si>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</si>
  <si>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</si>
  <si>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</si>
  <si>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</si>
  <si>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</si>
  <si>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</si>
  <si>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</si>
  <si>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</si>
  <si>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</si>
  <si>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</si>
  <si>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</si>
  <si>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</si>
  <si>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</si>
  <si>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</si>
  <si>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</si>
  <si>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</si>
  <si>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</si>
  <si>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</si>
  <si>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</si>
  <si>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</si>
  <si>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</si>
  <si>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</si>
  <si>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</si>
  <si>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</si>
  <si>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</si>
  <si>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</si>
  <si>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</si>
  <si>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</si>
  <si>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</si>
  <si>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</si>
  <si>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</si>
  <si>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</si>
  <si>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</si>
  <si>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</si>
  <si>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</si>
  <si>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</si>
  <si>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</si>
  <si>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</si>
  <si>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</si>
  <si>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</si>
  <si>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</si>
  <si>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</si>
  <si>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</si>
  <si>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</si>
  <si>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</si>
  <si>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</si>
  <si>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</si>
  <si>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</si>
  <si>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</si>
  <si>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</si>
  <si>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</si>
  <si>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</si>
  <si>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</si>
  <si>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</si>
  <si>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</si>
  <si>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</si>
  <si>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</si>
  <si>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</si>
  <si>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</si>
  <si>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</si>
  <si>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</si>
  <si>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</si>
  <si>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</si>
  <si>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</si>
  <si>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</si>
  <si>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</si>
  <si>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</si>
  <si>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</si>
  <si>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</si>
  <si>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</si>
  <si>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</si>
  <si>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</si>
  <si>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</si>
  <si>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</si>
  <si>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</si>
  <si>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</si>
  <si>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</si>
  <si>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</si>
  <si>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</si>
  <si>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</si>
  <si>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</si>
  <si>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</si>
  <si>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</si>
  <si>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</si>
  <si>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</si>
  <si>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</si>
  <si>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</si>
  <si>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</si>
  <si>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</si>
  <si>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</si>
  <si>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</si>
  <si>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</si>
  <si>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</si>
  <si>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</si>
  <si>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</si>
  <si>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</si>
  <si>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</si>
  <si>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</si>
  <si>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</si>
  <si>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</si>
  <si>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</si>
  <si>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</si>
  <si>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</si>
  <si>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</si>
  <si>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</si>
  <si>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</si>
  <si>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</si>
  <si>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</si>
  <si>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</si>
  <si>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</si>
  <si>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</si>
  <si>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</si>
  <si>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</si>
  <si>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</si>
  <si>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</si>
  <si>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</si>
  <si>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</si>
  <si>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</si>
  <si>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</si>
  <si>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</si>
  <si>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</si>
  <si>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</si>
  <si>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</si>
  <si>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</si>
  <si>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</si>
  <si>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</si>
  <si>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</si>
  <si>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</si>
  <si>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</si>
  <si>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</si>
  <si>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</si>
  <si>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</si>
  <si>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</si>
  <si>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</si>
  <si>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</si>
  <si>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</si>
  <si>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</si>
  <si>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</si>
  <si>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</si>
  <si>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</si>
  <si>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</si>
  <si>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</si>
  <si>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</si>
  <si>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</si>
  <si>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</si>
  <si>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</si>
  <si>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</si>
  <si>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</si>
  <si>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</si>
  <si>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</si>
  <si>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</si>
  <si>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</si>
  <si>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</si>
  <si>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</si>
  <si>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</si>
  <si>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</si>
  <si>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</si>
  <si>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</si>
  <si>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</si>
  <si>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</si>
  <si>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</si>
  <si>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</si>
  <si>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</si>
  <si>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</si>
  <si>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</si>
  <si>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</si>
  <si>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</si>
  <si>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</si>
  <si>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</si>
  <si>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</si>
  <si>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</si>
  <si>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</si>
  <si>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</si>
  <si>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</si>
  <si>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</si>
  <si>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</si>
  <si>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</si>
  <si>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</si>
  <si>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</si>
  <si>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</si>
  <si>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</si>
  <si>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</si>
  <si>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</si>
  <si>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</si>
  <si>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</si>
  <si>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</si>
  <si>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</si>
  <si>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</si>
  <si>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</si>
  <si>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</si>
  <si>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</si>
  <si>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</si>
  <si>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</si>
  <si>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</si>
  <si>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</si>
  <si>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</si>
  <si>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</si>
  <si>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</si>
  <si>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</si>
  <si>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</si>
  <si>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</si>
  <si>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</si>
  <si>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</si>
  <si>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</si>
  <si>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</si>
  <si>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</si>
  <si>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</si>
  <si>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</si>
  <si>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</si>
  <si>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</si>
  <si>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</si>
  <si>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</si>
  <si>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</si>
  <si>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</si>
  <si>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</si>
  <si>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</si>
  <si>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</si>
  <si>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</si>
  <si>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</si>
  <si>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</si>
  <si>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</si>
  <si>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</si>
  <si>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</si>
  <si>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</si>
  <si>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</si>
  <si>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</si>
  <si>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</si>
  <si>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</si>
  <si>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</si>
  <si>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</si>
  <si>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</si>
  <si>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</si>
  <si>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</si>
  <si>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</si>
  <si>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</si>
  <si>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ASUSTEK COMPUTER INC.</t>
    <phoneticPr fontId="85" type="noConversion"/>
  </si>
  <si>
    <t>No.15, Li-De Rd. Beitou, Dist., Taipei 112, Taiwan</t>
    <phoneticPr fontId="85" type="noConversion"/>
  </si>
  <si>
    <t>Jason Chang</t>
    <phoneticPr fontId="85" type="noConversion"/>
  </si>
  <si>
    <t>JC_Chang@asus.com</t>
    <phoneticPr fontId="85" type="noConversion"/>
  </si>
  <si>
    <t>(886) 2 2894 3447 Ext.22619</t>
    <phoneticPr fontId="85" type="noConversion"/>
  </si>
  <si>
    <t>Jennie Lin</t>
    <phoneticPr fontId="85" type="noConversion"/>
  </si>
  <si>
    <t>Director</t>
    <phoneticPr fontId="85" type="noConversion"/>
  </si>
  <si>
    <t>Jennie_Lin@asus.com</t>
    <phoneticPr fontId="85" type="noConversion"/>
  </si>
  <si>
    <t>https://csr.asus.com/english/article.aspx?id=144</t>
    <phoneticPr fontId="8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</si>
</sst>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_(* \(#,##0\);_(* &quot;-&quot;_);_(@_)"/>
    <numFmt numFmtId="43" formatCode="_(* #,##0.00_);_(* \(#,##0.00\);_(* &quot;-&quot;??_);_(@_)"/>
    <numFmt numFmtId="176" formatCode="_(&quot;$&quot;* #,##0_);_(&quot;$&quot;* \(#,##0\);_(&quot;$&quot;* &quot;-&quot;_);_(@_)"/>
    <numFmt numFmtId="177" formatCode="_(&quot;$&quot;* #,##0.00_);_(&quot;$&quot;* \(#,##0.00\);_(&quot;$&quot;* &quot;-&quot;??_);_(@_)"/>
    <numFmt numFmtId="178" formatCode="_-* #,##0_-;\-* #,##0_-;_-* &quot;-&quot;_-;_-@_-"/>
    <numFmt numFmtId="179" formatCode="_-* #,##0.00_-;\-* #,##0.00_-;_-* &quot;-&quot;??_-;_-@_-"/>
    <numFmt numFmtId="180" formatCode="[$-409]mmmm\ d\,\ yyyy;@"/>
    <numFmt numFmtId="181" formatCode="[$-409]d\-mmm\-yyyy;@"/>
    <numFmt numFmtId="182" formatCode="_-&quot;$&quot;* #,##0_-;\-&quot;$&quot;* #,##0_-;_-&quot;$&quot;* &quot;-&quot;_-;_-@_-"/>
    <numFmt numFmtId="183" formatCode="_-&quot;$&quot;* #,##0.00_-;\-&quot;$&quot;* #,##0.00_-;_-&quot;$&quot;* &quot;-&quot;??_-;_-@_-"/>
    <numFmt numFmtId="184" formatCode="_-* #,##0\ &quot;€&quot;_-;\-* #,##0\ &quot;€&quot;_-;_-* &quot;-&quot;\ &quot;€&quot;_-;_-@_-"/>
    <numFmt numFmtId="185" formatCode="_-* #,##0\ _€_-;\-* #,##0\ _€_-;_-* &quot;-&quot;\ _€_-;_-@_-"/>
    <numFmt numFmtId="186" formatCode="_-* #,##0.00\ &quot;€&quot;_-;\-* #,##0.00\ &quot;€&quot;_-;_-* &quot;-&quot;??\ &quot;€&quot;_-;_-@_-"/>
    <numFmt numFmtId="187" formatCode="_-* #,##0.00\ _€_-;\-* #,##0.00\ _€_-;_-* &quot;-&quot;??\ _€_-;_-@_-"/>
    <numFmt numFmtId="188" formatCode="_-&quot;€&quot;\ * #,##0_-;\-&quot;€&quot;\ * #,##0_-;_-&quot;€&quot;\ * &quot;-&quot;_-;_-@_-"/>
    <numFmt numFmtId="189" formatCode="_-&quot;€&quot;\ * #,##0.00_-;\-&quot;€&quot;\ * #,##0.00_-;_-&quot;€&quot;\ * &quot;-&quot;??_-;_-@_-"/>
    <numFmt numFmtId="190" formatCode="0.0"/>
  </numFmts>
  <fonts count="117">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7"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6" fontId="13" fillId="0" borderId="0" applyFont="0" applyFill="0" applyBorder="0" applyAlignment="0" applyProtection="0"/>
    <xf numFmtId="182" fontId="13" fillId="0" borderId="0" applyFont="0" applyFill="0" applyBorder="0" applyAlignment="0" applyProtection="0"/>
    <xf numFmtId="184" fontId="13" fillId="0" borderId="0" applyFont="0" applyFill="0" applyBorder="0" applyAlignment="0" applyProtection="0"/>
    <xf numFmtId="188" fontId="13" fillId="0" borderId="0" applyFont="0" applyFill="0" applyBorder="0" applyAlignment="0" applyProtection="0"/>
    <xf numFmtId="177"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7"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6" fontId="13" fillId="0" borderId="0" applyFont="0" applyFill="0" applyBorder="0" applyAlignment="0" applyProtection="0"/>
    <xf numFmtId="177"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7"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7"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7"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7"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7"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7"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0"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80" fontId="4" fillId="0" borderId="0"/>
    <xf numFmtId="0" fontId="83" fillId="0" borderId="0"/>
    <xf numFmtId="0" fontId="83"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3" fillId="0" borderId="0"/>
    <xf numFmtId="0" fontId="5" fillId="0" borderId="0"/>
    <xf numFmtId="0" fontId="5" fillId="0" borderId="0"/>
    <xf numFmtId="180" fontId="10" fillId="0" borderId="0"/>
    <xf numFmtId="0" fontId="5" fillId="0" borderId="0"/>
    <xf numFmtId="0" fontId="10" fillId="0" borderId="0"/>
    <xf numFmtId="0" fontId="5" fillId="0" borderId="0"/>
    <xf numFmtId="0" fontId="67" fillId="0" borderId="0">
      <alignment vertical="center"/>
    </xf>
    <xf numFmtId="180"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80" fontId="4" fillId="0" borderId="0"/>
    <xf numFmtId="180"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80" fontId="13" fillId="0" borderId="0"/>
    <xf numFmtId="0" fontId="83" fillId="0" borderId="0"/>
    <xf numFmtId="0" fontId="83" fillId="0" borderId="0"/>
    <xf numFmtId="0" fontId="83" fillId="0" borderId="0"/>
    <xf numFmtId="180"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6" fillId="0" borderId="0" applyNumberFormat="0" applyFill="0" applyBorder="0" applyAlignment="0" applyProtection="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80"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0"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9" fillId="45" borderId="56" xfId="492" applyNumberFormat="1" applyFont="1" applyFill="1" applyBorder="1" applyAlignment="1" applyProtection="1">
      <alignment horizontal="left" vertical="center" wrapText="1"/>
      <protection locked="0"/>
    </xf>
    <xf numFmtId="49" fontId="79" fillId="45" borderId="11" xfId="492" applyNumberFormat="1" applyFont="1" applyFill="1" applyBorder="1" applyAlignment="1" applyProtection="1">
      <alignment horizontal="left" vertical="center" wrapText="1"/>
      <protection locked="0"/>
    </xf>
    <xf numFmtId="49" fontId="79" fillId="45" borderId="33" xfId="492" applyNumberFormat="1" applyFont="1" applyFill="1" applyBorder="1" applyAlignment="1" applyProtection="1">
      <alignment horizontal="left" vertical="center" wrapText="1"/>
      <protection locked="0"/>
    </xf>
    <xf numFmtId="49" fontId="116" fillId="45" borderId="56" xfId="829" applyNumberFormat="1" applyFill="1" applyBorder="1" applyAlignment="1" applyProtection="1">
      <alignment horizontal="left" vertical="center" wrapText="1"/>
      <protection locked="0"/>
    </xf>
    <xf numFmtId="0" fontId="116" fillId="45" borderId="56" xfId="829" applyFill="1" applyBorder="1" applyAlignment="1" applyProtection="1">
      <alignment horizontal="left" vertical="center" wrapText="1"/>
      <protection locked="0"/>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一般" xfId="0" builtinId="0"/>
    <cellStyle name="一般 7" xfId="593"/>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cellStyle name="標準 2 2" xfId="595"/>
    <cellStyle name="標準 2 3" xfId="596"/>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cellStyles>
  <dxfs count="11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sr.asus.com/english/article.aspx?id=144" TargetMode="External"/><Relationship Id="rId2" Type="http://schemas.openxmlformats.org/officeDocument/2006/relationships/hyperlink" Target="mailto:Jennie_Lin@asus.com" TargetMode="External"/><Relationship Id="rId1" Type="http://schemas.openxmlformats.org/officeDocument/2006/relationships/hyperlink" Target="mailto:JC_Chang@asu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921875" defaultRowHeight="13.5"/>
  <cols>
    <col min="1" max="1" width="143" style="158" customWidth="1"/>
    <col min="2" max="2" width="34.921875" style="158" customWidth="1"/>
    <col min="3" max="3" width="8.921875" style="158" customWidth="1"/>
    <col min="4" max="16384" width="8.921875" style="158"/>
  </cols>
  <sheetData>
    <row r="1" spans="1:2" ht="104.15"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5"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49999999999999" customHeight="1">
      <c r="A10" s="94" t="str">
        <f ca="1">OFFSET(L!$C$1,MATCH("Instructions"&amp;ADDRESS(ROW(),COLUMN(),4),L!$A:$A,0)-1,SL,,)</f>
        <v xml:space="preserve">4. Insert the source for the unique identifier number or code ("DUNS", "VAT", "Customer", etc).  </v>
      </c>
      <c r="B10" s="181"/>
    </row>
    <row r="11" spans="1:2" ht="20.149999999999999" customHeight="1">
      <c r="A11" s="94" t="str">
        <f ca="1">OFFSET(L!$C$1,MATCH("Instructions"&amp;ADDRESS(ROW(),COLUMN(),4),L!$A:$A,0)-1,SL,,)</f>
        <v>5. Insert your full company address (street, city, state, country, postal code). This field is optional.</v>
      </c>
      <c r="B11" s="181"/>
    </row>
    <row r="12" spans="1:2" ht="35.15"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49999999999999"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5"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00000000000006"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5"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5"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6"/>
  <sheetViews>
    <sheetView workbookViewId="0">
      <selection activeCell="A2" sqref="A2"/>
    </sheetView>
  </sheetViews>
  <sheetFormatPr defaultRowHeight="13.5"/>
  <cols>
    <col min="2" max="2" width="27.38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3" activePane="bottomRight" state="frozen"/>
      <selection pane="topRight" activeCell="B24" sqref="B24:J24"/>
      <selection pane="bottomLeft" activeCell="B24" sqref="B24:J24"/>
      <selection pane="bottomRight" activeCell="E22" sqref="E22"/>
    </sheetView>
  </sheetViews>
  <sheetFormatPr defaultColWidth="11" defaultRowHeight="13.5"/>
  <cols>
    <col min="1" max="1" width="0.921875" customWidth="1"/>
    <col min="2" max="2" width="10.07421875" customWidth="1"/>
    <col min="3" max="3" width="11.4609375" customWidth="1"/>
    <col min="4" max="4" width="17.07421875" style="150" customWidth="1"/>
    <col min="5" max="5" width="42.23046875" customWidth="1"/>
    <col min="6" max="6" width="53.23046875" customWidth="1"/>
    <col min="7" max="7" width="0.921875" customWidth="1"/>
  </cols>
  <sheetData>
    <row r="1" spans="1:7" ht="14"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49999999999999"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5">
      <c r="A13" s="310"/>
      <c r="B13" s="309">
        <v>1</v>
      </c>
      <c r="C13" s="228" t="s">
        <v>12</v>
      </c>
      <c r="D13" s="229">
        <v>44489</v>
      </c>
      <c r="E13" s="228" t="s">
        <v>12769</v>
      </c>
      <c r="F13" s="230" t="s">
        <v>13</v>
      </c>
      <c r="G13" s="25"/>
    </row>
    <row r="14" spans="1:7" ht="57.5">
      <c r="A14" s="310"/>
      <c r="B14" s="227">
        <v>1.01</v>
      </c>
      <c r="C14" s="228" t="s">
        <v>12</v>
      </c>
      <c r="D14" s="229">
        <v>44523</v>
      </c>
      <c r="E14" s="228" t="s">
        <v>12775</v>
      </c>
      <c r="F14" s="230" t="s">
        <v>13</v>
      </c>
      <c r="G14" s="25"/>
    </row>
    <row r="15" spans="1:7" ht="57.5">
      <c r="A15" s="310"/>
      <c r="B15" s="227">
        <v>1.02</v>
      </c>
      <c r="C15" s="228" t="s">
        <v>12</v>
      </c>
      <c r="D15" s="229">
        <v>44553</v>
      </c>
      <c r="E15" s="228" t="s">
        <v>12776</v>
      </c>
      <c r="F15" s="230" t="s">
        <v>13</v>
      </c>
      <c r="G15" s="25"/>
    </row>
    <row r="16" spans="1:7" ht="92">
      <c r="A16" s="310"/>
      <c r="B16" s="227">
        <v>1.1000000000000001</v>
      </c>
      <c r="C16" s="228" t="s">
        <v>12</v>
      </c>
      <c r="D16" s="229">
        <v>44848</v>
      </c>
      <c r="E16" s="228" t="s">
        <v>12800</v>
      </c>
      <c r="F16" s="230" t="s">
        <v>12806</v>
      </c>
      <c r="G16" s="25"/>
    </row>
    <row r="17" spans="1:7" ht="46">
      <c r="A17" s="310"/>
      <c r="B17" s="227">
        <v>1.1100000000000001</v>
      </c>
      <c r="C17" s="228" t="s">
        <v>12</v>
      </c>
      <c r="D17" s="229">
        <v>44869</v>
      </c>
      <c r="E17" s="228" t="s">
        <v>12801</v>
      </c>
      <c r="F17" s="230" t="s">
        <v>12806</v>
      </c>
      <c r="G17" s="25"/>
    </row>
    <row r="18" spans="1:7" ht="14" thickBot="1">
      <c r="A18" s="311"/>
      <c r="B18" s="312" t="str">
        <f ca="1">OFFSET(L!$C$1,MATCH("General"&amp;"Cpy",L!$A:$A,0)-1,SL,,)</f>
        <v>© 2022 Responsible Minerals Initiative. All rights reserved.</v>
      </c>
      <c r="C18" s="312"/>
      <c r="D18" s="312"/>
      <c r="E18" s="312"/>
      <c r="F18" s="312"/>
      <c r="G18" s="26"/>
    </row>
    <row r="19" spans="1:7" ht="14"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8" customWidth="1"/>
    <col min="2" max="2" width="35.4609375" style="158" customWidth="1"/>
    <col min="3" max="3" width="105.4609375" style="158" customWidth="1"/>
    <col min="4" max="5" width="1.69140625" style="158" customWidth="1"/>
    <col min="6" max="6" width="52" style="158" customWidth="1"/>
    <col min="7" max="7" width="4.921875" style="158" customWidth="1"/>
    <col min="8" max="16384" width="8.921875" style="158"/>
  </cols>
  <sheetData>
    <row r="1" spans="1:8" ht="90.65"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05">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5"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0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35">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35">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4" thickBot="1">
      <c r="A23" s="182"/>
      <c r="B23" s="183"/>
      <c r="C23" s="183"/>
      <c r="D23" s="321"/>
    </row>
    <row r="24" spans="1:5" ht="14"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zoomScale="70" zoomScaleNormal="70" workbookViewId="0">
      <selection activeCell="D3" sqref="D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05"/>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78"/>
      <c r="F3" s="379"/>
      <c r="G3" s="379"/>
      <c r="H3" s="379"/>
      <c r="I3" s="379"/>
      <c r="J3" s="192" t="s">
        <v>12808</v>
      </c>
      <c r="K3" s="30"/>
      <c r="L3" s="103"/>
      <c r="P3" s="39">
        <f>MATCH($D$3,LN,0)</f>
        <v>1</v>
      </c>
    </row>
    <row r="4" spans="1:34" ht="15">
      <c r="A4" s="28"/>
      <c r="B4" s="366" t="str">
        <f ca="1">OFFSET(L!$C$1,MATCH("Declaration"&amp;ADDRESS(ROW(),COLUMN(),4),L!$A:$A,0)-1,SL,,)</f>
        <v>The purpose of this document is to collect sourcing information on cobalt or natural mica.</v>
      </c>
      <c r="C4" s="366"/>
      <c r="D4" s="366"/>
      <c r="E4" s="366"/>
      <c r="F4" s="366"/>
      <c r="G4" s="366"/>
      <c r="H4" s="366"/>
      <c r="I4" s="370" t="str">
        <f ca="1">OFFSET(L!$C$1,MATCH("Declaration"&amp;ADDRESS(ROW(),COLUMN(),4),L!$A:$A,0)-1,SL,,)</f>
        <v>Link to Terms &amp; Conditions</v>
      </c>
      <c r="J4" s="37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0"/>
      <c r="L6" s="105" t="s">
        <v>20</v>
      </c>
      <c r="P6" s="3"/>
      <c r="Q6" s="3"/>
      <c r="R6" s="3"/>
      <c r="S6" s="3"/>
      <c r="T6" s="3"/>
      <c r="U6" s="3"/>
      <c r="V6" s="3"/>
      <c r="W6" s="3"/>
      <c r="X6" s="3"/>
      <c r="Y6" s="3"/>
      <c r="Z6" s="3"/>
      <c r="AA6" s="3"/>
      <c r="AB6" s="3"/>
      <c r="AC6" s="3"/>
      <c r="AD6" s="3"/>
      <c r="AE6" s="3"/>
      <c r="AF6" s="3"/>
      <c r="AG6" s="3"/>
      <c r="AH6" s="3"/>
    </row>
    <row r="7" spans="1:34" ht="15">
      <c r="A7" s="28"/>
      <c r="B7" s="371" t="str">
        <f ca="1">OFFSET(L!$C$1,MATCH("Declaration"&amp;ADDRESS(ROW(),COLUMN(),4),L!$A:$A,0)-1,SL,,)</f>
        <v>Company Information</v>
      </c>
      <c r="C7" s="371"/>
      <c r="D7" s="371"/>
      <c r="E7" s="371"/>
      <c r="F7" s="371"/>
      <c r="G7" s="371"/>
      <c r="H7" s="371"/>
      <c r="I7" s="371"/>
      <c r="J7" s="371"/>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63" t="s">
        <v>12810</v>
      </c>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7">
      <c r="A9" s="32"/>
      <c r="B9" s="66" t="str">
        <f ca="1">OFFSET(L!$C$1,MATCH("Declaration"&amp;ADDRESS(ROW(),COLUMN(),4),L!$A:$A,0)-1,SL,,)</f>
        <v>Declaration Scope or Class (*):</v>
      </c>
      <c r="C9" s="67"/>
      <c r="D9" s="394" t="s">
        <v>21</v>
      </c>
      <c r="E9" s="395"/>
      <c r="F9" s="395"/>
      <c r="G9" s="396"/>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2" t="str">
        <f ca="1">OFFSET(L!$C$1,MATCH("Declaration"&amp;ADDRESS(ROW(),COLUMN(),4)&amp;LEFT($D$9,1),L!$A:$A,0)-1,SL,,)</f>
        <v>Description of Scope:</v>
      </c>
      <c r="C10" s="113"/>
      <c r="D10" s="367"/>
      <c r="E10" s="368"/>
      <c r="F10" s="368"/>
      <c r="G10" s="368"/>
      <c r="H10" s="368"/>
      <c r="I10" s="368"/>
      <c r="J10" s="369"/>
      <c r="K10" s="30"/>
      <c r="L10" s="105"/>
      <c r="Q10" s="3"/>
      <c r="R10" s="3"/>
      <c r="S10" s="3"/>
      <c r="T10" s="3"/>
      <c r="U10" s="3"/>
      <c r="V10" s="3"/>
      <c r="W10" s="3"/>
      <c r="X10" s="3"/>
      <c r="Y10" s="3"/>
      <c r="Z10" s="3"/>
      <c r="AA10" s="3"/>
      <c r="AB10" s="3"/>
      <c r="AC10" s="3"/>
      <c r="AD10" s="3"/>
      <c r="AE10" s="3"/>
      <c r="AF10" s="3"/>
      <c r="AG10" s="3"/>
      <c r="AH10" s="3"/>
    </row>
    <row r="11" spans="1:34" ht="17">
      <c r="A11" s="32"/>
      <c r="B11" s="373"/>
      <c r="C11" s="113"/>
      <c r="D11" s="374" t="str">
        <f ca="1">IF(D9=Q9,OFFSET(L!$C$1,MATCH("Declaration"&amp;ADDRESS(ROW(),COLUMN(),4),L!$A:$A,0)-1,SL,,),"")</f>
        <v/>
      </c>
      <c r="E11" s="375"/>
      <c r="F11" s="375"/>
      <c r="G11" s="375"/>
      <c r="H11" s="375"/>
      <c r="I11" s="375"/>
      <c r="J11" s="376"/>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6" t="s">
        <v>12811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 customHeight="1">
      <c r="A15" s="32"/>
      <c r="B15" s="34" t="str">
        <f ca="1">OFFSET(L!$C$1,MATCH("Declaration"&amp;ADDRESS(ROW(),COLUMN(),4),L!$A:$A,0)-1,SL,,)</f>
        <v>Contact Name (*):</v>
      </c>
      <c r="C15" s="68"/>
      <c r="D15" s="346" t="s">
        <v>12812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97" t="s">
        <v>12813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6" t="s">
        <v>12814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12815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12816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97" t="s">
        <v>12817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52">
        <v>44876</v>
      </c>
      <c r="E22" s="353"/>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77" t="str">
        <f ca="1">OFFSET(L!$C$1,MATCH("Declaration"&amp;ADDRESS(ROW(),COLUMN(),4),L!$A:$A,0)-1,SL,,)</f>
        <v>Answer the following questions 1 - 7 based on the declaration scope indicated above</v>
      </c>
      <c r="C24" s="377"/>
      <c r="D24" s="377"/>
      <c r="E24" s="377"/>
      <c r="F24" s="377"/>
      <c r="G24" s="377"/>
      <c r="H24" s="377"/>
      <c r="I24" s="377"/>
      <c r="J24" s="377"/>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2" t="s">
        <v>27</v>
      </c>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2" t="s">
        <v>29</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0" t="s">
        <v>24</v>
      </c>
      <c r="E29" s="351"/>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2" t="s">
        <v>27</v>
      </c>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6"/>
      <c r="I37" s="356"/>
      <c r="J37" s="356"/>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2" t="s">
        <v>27</v>
      </c>
      <c r="E38" s="323"/>
      <c r="F38" s="41"/>
      <c r="G38" s="324"/>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2" t="s">
        <v>27</v>
      </c>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0">
        <v>1</v>
      </c>
      <c r="E50" s="381"/>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0"/>
      <c r="E51" s="381"/>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4"/>
      <c r="E52" s="355"/>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4"/>
      <c r="E53" s="355"/>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16</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t="s">
        <v>27</v>
      </c>
      <c r="E56" s="342"/>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16</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2" t="s">
        <v>27</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t="s">
        <v>27</v>
      </c>
      <c r="E71" s="323"/>
      <c r="F71" s="51"/>
      <c r="G71" s="398" t="s">
        <v>12818</v>
      </c>
      <c r="H71" s="338"/>
      <c r="I71" s="338"/>
      <c r="J71" s="339"/>
      <c r="K71" s="30"/>
      <c r="L71" s="102" t="s">
        <v>20</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0"/>
      <c r="H73" s="340"/>
      <c r="I73" s="340"/>
      <c r="J73" s="340"/>
      <c r="K73" s="30"/>
      <c r="L73" s="102" t="s">
        <v>16</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2" t="s">
        <v>27</v>
      </c>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2" t="s">
        <v>27</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12" priority="130" stopIfTrue="1">
      <formula>IF($D$26="",TRUE)</formula>
    </cfRule>
  </conditionalFormatting>
  <conditionalFormatting sqref="D27:E27">
    <cfRule type="expression" dxfId="111" priority="137" stopIfTrue="1">
      <formula>IF($D$27="",TRUE)</formula>
    </cfRule>
  </conditionalFormatting>
  <conditionalFormatting sqref="D22:E22">
    <cfRule type="expression" dxfId="104" priority="152" stopIfTrue="1">
      <formula>IF($D$22="",TRUE)</formula>
    </cfRule>
  </conditionalFormatting>
  <conditionalFormatting sqref="D10:J10">
    <cfRule type="expression" dxfId="103" priority="49" stopIfTrue="1">
      <formula>IF($D$9=$Q$9,TRUE)</formula>
    </cfRule>
    <cfRule type="expression" dxfId="102" priority="159" stopIfTrue="1">
      <formula>IF(AND($D$10="",$D$9=$R$9),TRUE)</formula>
    </cfRule>
  </conditionalFormatting>
  <conditionalFormatting sqref="D40:E40 D46:E46 D52:E52 D58:E58 D64:E64">
    <cfRule type="expression" dxfId="101" priority="42" stopIfTrue="1">
      <formula>$P$28=""</formula>
    </cfRule>
  </conditionalFormatting>
  <conditionalFormatting sqref="D41:E41 D47:E47 D53:E53 D59:E59 D65:E65">
    <cfRule type="expression" dxfId="100" priority="157" stopIfTrue="1">
      <formula>$P$29=""</formula>
    </cfRule>
  </conditionalFormatting>
  <conditionalFormatting sqref="D40 D46 D52 D58 D64">
    <cfRule type="expression" dxfId="99" priority="155" stopIfTrue="1">
      <formula>IF(AND(OR($D$28="Yes",$D$28=""),D40=""),1,0)</formula>
    </cfRule>
  </conditionalFormatting>
  <conditionalFormatting sqref="D38:E38 D44:E44 D50:E50 D56:E56 D62:E62">
    <cfRule type="expression" dxfId="98" priority="46" stopIfTrue="1">
      <formula>IF(AND(OR($D$26="No",$D$26="Unknown",$D$26="Not applicable for this declaration",$D$32="No",$D$32="Unknown"),D38=""),1,0)</formula>
    </cfRule>
    <cfRule type="expression" dxfId="97" priority="47" stopIfTrue="1">
      <formula>IF(AND(OR($D$26="Yes",$D$26=""),D38=""),1,0)</formula>
    </cfRule>
  </conditionalFormatting>
  <conditionalFormatting sqref="G79:J79">
    <cfRule type="expression" dxfId="96" priority="40" stopIfTrue="1">
      <formula>IF(AND($D$79="Yes, using other format (describe)",$G$79=""),TRUE)</formula>
    </cfRule>
  </conditionalFormatting>
  <conditionalFormatting sqref="D39:E39 D45:E45 D51:E51 D57:E57 D63:E63">
    <cfRule type="expression" dxfId="95" priority="153" stopIfTrue="1">
      <formula>IF(AND(OR($D$27="No",$D$27="Unknown",$D$27="Not applicable for this declaration",$D$33="No",$D$33="Unknown"),D39=""),1,0)</formula>
    </cfRule>
    <cfRule type="expression" dxfId="94" priority="154" stopIfTrue="1">
      <formula>IF(AND(OR($D$27="Yes",$D$27=""),D39=""),1,0)</formula>
    </cfRule>
  </conditionalFormatting>
  <conditionalFormatting sqref="D41:E41 D47:E47 D53:E53 D59:E59 D65:E65">
    <cfRule type="expression" dxfId="93" priority="158" stopIfTrue="1">
      <formula>IF(AND(OR($D$29="Yes",$D$29=""),D41=""),1,0)</formula>
    </cfRule>
  </conditionalFormatting>
  <conditionalFormatting sqref="D28 D40 D46 D52 D58 D64">
    <cfRule type="expression" dxfId="91" priority="26">
      <formula>IF($D$28="No",TRUE)</formula>
    </cfRule>
  </conditionalFormatting>
  <conditionalFormatting sqref="D29 D41 D47 D53 D59 D65">
    <cfRule type="expression" dxfId="90" priority="25">
      <formula>IF($D$29="No",TRUE)</formula>
    </cfRule>
  </conditionalFormatting>
  <conditionalFormatting sqref="G81:J81">
    <cfRule type="expression" dxfId="88" priority="21">
      <formula>IF(AND($D$81="Yes, using other format (describe)",$G$81=""),TRUE)</formula>
    </cfRule>
  </conditionalFormatting>
  <conditionalFormatting sqref="D32:E32">
    <cfRule type="expression" dxfId="87" priority="15" stopIfTrue="1">
      <formula>IF(AND(OR($D$26="Yes",$D$26=""),$D$32=""),1,0)</formula>
    </cfRule>
    <cfRule type="expression" dxfId="86" priority="19" stopIfTrue="1">
      <formula>IF($P$26="",TRUE)</formula>
    </cfRule>
  </conditionalFormatting>
  <conditionalFormatting sqref="D33:E33">
    <cfRule type="expression" dxfId="85" priority="18" stopIfTrue="1">
      <formula>IF(AND(OR($D$27="Yes",$D$27=""),$D$33=""),1,0)</formula>
    </cfRule>
    <cfRule type="expression" dxfId="84" priority="20" stopIfTrue="1">
      <formula>IF($P$27="",TRUE)</formula>
    </cfRule>
  </conditionalFormatting>
  <conditionalFormatting sqref="D34">
    <cfRule type="expression" dxfId="83" priority="17">
      <formula>IF($D$28="No",TRUE)</formula>
    </cfRule>
  </conditionalFormatting>
  <conditionalFormatting sqref="D35">
    <cfRule type="expression" dxfId="82" priority="16">
      <formula>IF($D$29="No",TRUE)</formula>
    </cfRule>
  </conditionalFormatting>
  <conditionalFormatting sqref="D74:E74">
    <cfRule type="expression" dxfId="81" priority="11" stopIfTrue="1">
      <formula>IF(AND(OR($D$26="No",$D$26="Unknown",$D$26="Not applicable for this declaration",$D$32="No",$D$32="Unknown"),D74=""),1,0)</formula>
    </cfRule>
    <cfRule type="expression" dxfId="80" priority="12" stopIfTrue="1">
      <formula>IF(AND(OR($D$26="Yes",$D$26=""),D74=""),1,0)</formula>
    </cfRule>
  </conditionalFormatting>
  <conditionalFormatting sqref="D75:E75">
    <cfRule type="expression" dxfId="79" priority="13" stopIfTrue="1">
      <formula>IF(AND(OR($D$27="No",$D$27="Unknown",$D$27="Not applicable for this declaration",$D$33="No",$D$33="Unknown"),D74=""),1,0)</formula>
    </cfRule>
    <cfRule type="expression" dxfId="78" priority="14" stopIfTrue="1">
      <formula>IF(AND(OR($D$27="Yes",$D$27=""),D75=""),1,0)</formula>
    </cfRule>
  </conditionalFormatting>
  <conditionalFormatting sqref="D69:E69 D71:E71 D77:E77 D79:E79 D81:E81 D83:E83">
    <cfRule type="expression" dxfId="77" priority="9" stopIfTrue="1">
      <formula>AND(OR($D$26="No",$D$26="Unknown",$D$26="Not applicable for this declaration"),OR($D$27="No",$D$27="Unknown",$D$27="Not applicable for this declaration"))</formula>
    </cfRule>
    <cfRule type="expression" dxfId="76" priority="10" stopIfTrue="1">
      <formula>IF(D69="",TRUE)</formula>
    </cfRule>
  </conditionalFormatting>
  <conditionalFormatting sqref="D8:J8">
    <cfRule type="expression" dxfId="7" priority="8" stopIfTrue="1">
      <formula>IF($D$8="",TRUE)</formula>
    </cfRule>
  </conditionalFormatting>
  <conditionalFormatting sqref="D9:G9">
    <cfRule type="expression" dxfId="6" priority="7" stopIfTrue="1">
      <formula>IF($D$9="",TRUE)</formula>
    </cfRule>
  </conditionalFormatting>
  <conditionalFormatting sqref="D15:J15">
    <cfRule type="expression" dxfId="5" priority="6" stopIfTrue="1">
      <formula>IF($D$15="",TRUE)</formula>
    </cfRule>
  </conditionalFormatting>
  <conditionalFormatting sqref="D16:J16">
    <cfRule type="expression" dxfId="4" priority="5" stopIfTrue="1">
      <formula>IF($D$16="",TRUE)</formula>
    </cfRule>
  </conditionalFormatting>
  <conditionalFormatting sqref="D17:J17">
    <cfRule type="expression" dxfId="3" priority="4" stopIfTrue="1">
      <formula>IF($D$17="",TRUE)</formula>
    </cfRule>
  </conditionalFormatting>
  <conditionalFormatting sqref="D18:J18">
    <cfRule type="expression" dxfId="2" priority="3" stopIfTrue="1">
      <formula>IF($D$18="",TRUE)</formula>
    </cfRule>
  </conditionalFormatting>
  <conditionalFormatting sqref="D20:J20">
    <cfRule type="expression" dxfId="1" priority="2" stopIfTrue="1">
      <formula>IF($D$20="",TRUE)</formula>
    </cfRule>
  </conditionalFormatting>
  <conditionalFormatting sqref="G71:J71">
    <cfRule type="expression" dxfId="0" priority="1">
      <formula>IF(AND($D$71="Yes",$G$71=""),TRUE)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70" zoomScaleNormal="70" workbookViewId="0">
      <pane ySplit="3" topLeftCell="A41" activePane="bottomLeft" state="frozen"/>
      <selection activeCell="B24" sqref="B24:J24"/>
      <selection pane="bottomLeft" activeCell="C22" sqref="C22"/>
    </sheetView>
  </sheetViews>
  <sheetFormatPr defaultColWidth="8.921875" defaultRowHeight="13.5"/>
  <cols>
    <col min="1" max="1" width="13.69140625" style="172"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2" t="s">
        <v>44</v>
      </c>
      <c r="K2" s="383"/>
      <c r="L2" s="383"/>
      <c r="M2" s="383"/>
      <c r="N2" s="383"/>
      <c r="O2" s="383"/>
      <c r="P2" s="164"/>
      <c r="Q2" s="165"/>
      <c r="R2" s="166"/>
      <c r="S2" s="166"/>
      <c r="T2" s="166"/>
      <c r="AH2" s="132" t="s">
        <v>27</v>
      </c>
    </row>
    <row r="3" spans="1:34" s="17" customFormat="1" ht="240.65" customHeight="1">
      <c r="A3" s="205"/>
      <c r="B3" s="38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4"/>
      <c r="D3" s="384"/>
      <c r="E3" s="384"/>
      <c r="F3" s="167"/>
      <c r="G3" s="385" t="str">
        <f ca="1">OFFSET(L!$C$1,MATCH("General"&amp;"Cpy",L!$A:$A,0)-1,SL,,)</f>
        <v>© 2022 Responsible Minerals Initiative. All rights reserved.</v>
      </c>
      <c r="H3" s="385"/>
      <c r="I3" s="386"/>
      <c r="J3" s="117"/>
      <c r="K3" s="118"/>
      <c r="M3" s="168"/>
      <c r="N3" s="168"/>
      <c r="O3" s="91"/>
      <c r="P3" s="91"/>
      <c r="Q3" s="193" t="s">
        <v>12809</v>
      </c>
      <c r="R3" s="130"/>
      <c r="S3" s="130"/>
      <c r="T3" s="130"/>
      <c r="W3" s="141"/>
      <c r="X3" s="141"/>
      <c r="Y3" s="141"/>
      <c r="Z3" s="141"/>
      <c r="AA3" s="17" t="s">
        <v>45</v>
      </c>
      <c r="AB3" s="17" t="s">
        <v>46</v>
      </c>
      <c r="AH3" s="132" t="s">
        <v>24</v>
      </c>
    </row>
    <row r="4" spans="1:34" s="142" customFormat="1" ht="68.150000000000006"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
      <c r="A5" s="201" t="s">
        <v>122</v>
      </c>
      <c r="B5" s="151" t="str">
        <f ca="1">IF(LEN(A5)=0,"",INDEX('Smelter Look-up'!$A:$A,MATCH($A5,'Smelter Look-up'!$E:$E,0)))</f>
        <v>Cobalt</v>
      </c>
      <c r="C5" s="154" t="str">
        <f ca="1">IF(LEN(A5)=0,"",INDEX('Smelter Look-up'!$C:$C,MATCH($A5,'Smelter Look-up'!$E:$E,0)))</f>
        <v>Gem (Jiangsu) Cobalt Industry Co., Ltd.</v>
      </c>
      <c r="D5" s="151"/>
      <c r="E5" s="151" t="str">
        <f ca="1">IF(ISERROR($V5),"",OFFSET('Smelter Look-up'!$D$4,$V5-4,0)&amp;"")</f>
        <v>CHINA</v>
      </c>
      <c r="F5" s="151" t="str">
        <f ca="1">IF(ISERROR($V5),"",OFFSET('Smelter Look-up'!$E$4,$V5-4,0))</f>
        <v>CID003209</v>
      </c>
      <c r="G5" s="151" t="str">
        <f ca="1">IF(C5=$X$4,"Enter smelter details",IF(ISERROR($V5),"",OFFSET('Smelter Look-up'!$F$4,$V5-4,0)))</f>
        <v>RMI</v>
      </c>
      <c r="H5" s="209">
        <f ca="1">IF(ISERROR($V5),"",OFFSET('Smelter Look-up'!$G$4,$V5-4,0))</f>
        <v>0</v>
      </c>
      <c r="I5" s="210" t="str">
        <f ca="1">IF(ISERROR($V5),"",OFFSET('Smelter Look-up'!$H$4,$V5-4,0))</f>
        <v>Taixing</v>
      </c>
      <c r="J5" s="210" t="str">
        <f ca="1">IF(ISERROR($V5),"",OFFSET('Smelter Look-up'!$I$4,$V5-4,0))</f>
        <v>Jiangsu Sheng</v>
      </c>
      <c r="K5" s="152"/>
      <c r="L5" s="152"/>
      <c r="M5" s="152"/>
      <c r="N5" s="152"/>
      <c r="O5" s="152"/>
      <c r="P5" s="212"/>
      <c r="Q5" s="153"/>
      <c r="R5" s="151" t="str">
        <f ca="1">IF(ISERROR($V5),"",OFFSET('Smelter Look-up'!$C$4,$V5-4,0)&amp;"")</f>
        <v>Gem (Jiangsu) Cobalt Industry Co., Ltd.</v>
      </c>
      <c r="S5" s="157" t="str">
        <f t="shared" ref="S5:S63" ca="1" si="0">IF(B5="","",IF(ISERROR(MATCH($E5,CL,0)),"Unknown",INDIRECT("'C'!$A$"&amp;MATCH($E5,CL,0)+1)))</f>
        <v>Unknown</v>
      </c>
      <c r="T5" s="157" t="str">
        <f ca="1">IF(B5="","",IF(ISERROR(MATCH($J5,SorP!$B$1:$B$5662,0)),"",INDIRECT("'SorP'!$A$"&amp;MATCH($J5,SorP!$B$1:$B$5662,0))))</f>
        <v>CN-JS</v>
      </c>
      <c r="U5" s="170"/>
      <c r="V5" s="171">
        <f ca="1">IF(C5="",NA(),MATCH($B5&amp;$C5,'Smelter Look-up'!$J:$J,0))</f>
        <v>23</v>
      </c>
      <c r="X5" s="172">
        <f t="shared" ref="X5:X62" ca="1" si="1">IF(AND(C5="Smelter not listed",OR(LEN(D5)=0,LEN(E5)=0)),1,0)</f>
        <v>0</v>
      </c>
      <c r="AB5" s="172" t="str">
        <f t="shared" ref="AB5:AB62" ca="1" si="2">B5&amp;C5</f>
        <v>CobaltGem (Jiangsu) Cobalt Industry Co., Ltd.</v>
      </c>
    </row>
    <row r="6" spans="1:34" s="172" customFormat="1" ht="20">
      <c r="A6" s="201" t="s">
        <v>200</v>
      </c>
      <c r="B6" s="151" t="str">
        <f ca="1">IF(LEN(A6)=0,"",INDEX('Smelter Look-up'!$A:$A,MATCH($A6,'Smelter Look-up'!$E:$E,0)))</f>
        <v>Cobalt</v>
      </c>
      <c r="C6" s="154" t="str">
        <f ca="1">IF(LEN(A6)=0,"",INDEX('Smelter Look-up'!$C:$C,MATCH($A6,'Smelter Look-up'!$E:$E,0)))</f>
        <v>Lanzhou Jinchuan Advanced Materials Technology Co., Ltd.</v>
      </c>
      <c r="D6" s="151"/>
      <c r="E6" s="151" t="str">
        <f ca="1">IF(ISERROR($V6),"",OFFSET('Smelter Look-up'!$D$4,$V6-4,0)&amp;"")</f>
        <v>CHINA</v>
      </c>
      <c r="F6" s="151" t="str">
        <f ca="1">IF(ISERROR($V6),"",OFFSET('Smelter Look-up'!$E$4,$V6-4,0))</f>
        <v>CID003210</v>
      </c>
      <c r="G6" s="151" t="str">
        <f ca="1">IF(C6=$X$4,"Enter smelter details",IF(ISERROR($V6),"",OFFSET('Smelter Look-up'!$F$4,$V6-4,0)))</f>
        <v>RMI</v>
      </c>
      <c r="H6" s="209">
        <f ca="1">IF(ISERROR($V6),"",OFFSET('Smelter Look-up'!$G$4,$V6-4,0))</f>
        <v>0</v>
      </c>
      <c r="I6" s="210" t="str">
        <f ca="1">IF(ISERROR($V6),"",OFFSET('Smelter Look-up'!$H$4,$V6-4,0))</f>
        <v>Lanzhou</v>
      </c>
      <c r="J6" s="210" t="str">
        <f ca="1">IF(ISERROR($V6),"",OFFSET('Smelter Look-up'!$I$4,$V6-4,0))</f>
        <v>Gansu Sheng</v>
      </c>
      <c r="K6" s="152"/>
      <c r="L6" s="152"/>
      <c r="M6" s="152"/>
      <c r="N6" s="152"/>
      <c r="O6" s="152"/>
      <c r="P6" s="212"/>
      <c r="Q6" s="153"/>
      <c r="R6" s="151" t="str">
        <f ca="1">IF(ISERROR($V6),"",OFFSET('Smelter Look-up'!$C$4,$V6-4,0)&amp;"")</f>
        <v>Lanzhou Jinchuan Advanced Materials Technology Co., Ltd.</v>
      </c>
      <c r="S6" s="157" t="str">
        <f t="shared" ca="1" si="0"/>
        <v>Unknown</v>
      </c>
      <c r="T6" s="157" t="str">
        <f ca="1">IF(B6="","",IF(ISERROR(MATCH($J6,SorP!$B$1:$B$5662,0)),"",INDIRECT("'SorP'!$A$"&amp;MATCH($J6,SorP!$B$1:$B$5662,0))))</f>
        <v>CN-GS</v>
      </c>
      <c r="U6" s="170"/>
      <c r="V6" s="171">
        <f ca="1">IF(C6="",NA(),MATCH($B6&amp;$C6,'Smelter Look-up'!$J:$J,0))</f>
        <v>57</v>
      </c>
      <c r="X6" s="172">
        <f t="shared" ca="1" si="1"/>
        <v>0</v>
      </c>
      <c r="AB6" s="172" t="str">
        <f t="shared" ca="1" si="2"/>
        <v>CobaltLanzhou Jinchuan Advanced Materials Technology Co., Ltd.</v>
      </c>
    </row>
    <row r="7" spans="1:34" s="172" customFormat="1" ht="20">
      <c r="A7" s="201" t="s">
        <v>330</v>
      </c>
      <c r="B7" s="151" t="str">
        <f ca="1">IF(LEN(A7)=0,"",INDEX('Smelter Look-up'!$A:$A,MATCH($A7,'Smelter Look-up'!$E:$E,0)))</f>
        <v>Cobalt</v>
      </c>
      <c r="C7" s="154" t="str">
        <f ca="1">IF(LEN(A7)=0,"",INDEX('Smelter Look-up'!$C:$C,MATCH($A7,'Smelter Look-up'!$E:$E,0)))</f>
        <v>Zhuhai Kelixin Metal Materials Co., Ltd.</v>
      </c>
      <c r="D7" s="151"/>
      <c r="E7" s="151" t="str">
        <f ca="1">IF(ISERROR($V7),"",OFFSET('Smelter Look-up'!$D$4,$V7-4,0)&amp;"")</f>
        <v>CHINA</v>
      </c>
      <c r="F7" s="151" t="str">
        <f ca="1">IF(ISERROR($V7),"",OFFSET('Smelter Look-up'!$E$4,$V7-4,0))</f>
        <v>CID003211</v>
      </c>
      <c r="G7" s="151" t="str">
        <f ca="1">IF(C7=$X$4,"Enter smelter details",IF(ISERROR($V7),"",OFFSET('Smelter Look-up'!$F$4,$V7-4,0)))</f>
        <v>RMI</v>
      </c>
      <c r="H7" s="209">
        <f ca="1">IF(ISERROR($V7),"",OFFSET('Smelter Look-up'!$G$4,$V7-4,0))</f>
        <v>0</v>
      </c>
      <c r="I7" s="210" t="str">
        <f ca="1">IF(ISERROR($V7),"",OFFSET('Smelter Look-up'!$H$4,$V7-4,0))</f>
        <v>Zhuhai</v>
      </c>
      <c r="J7" s="210" t="str">
        <f ca="1">IF(ISERROR($V7),"",OFFSET('Smelter Look-up'!$I$4,$V7-4,0))</f>
        <v>Guangdong Sheng</v>
      </c>
      <c r="K7" s="152"/>
      <c r="L7" s="152"/>
      <c r="M7" s="152"/>
      <c r="N7" s="152"/>
      <c r="O7" s="152"/>
      <c r="P7" s="212"/>
      <c r="Q7" s="153"/>
      <c r="R7" s="151" t="str">
        <f ca="1">IF(ISERROR($V7),"",OFFSET('Smelter Look-up'!$C$4,$V7-4,0)&amp;"")</f>
        <v>Zhuhai Kelixin Metal Materials Co., Ltd.</v>
      </c>
      <c r="S7" s="157" t="str">
        <f t="shared" ca="1" si="0"/>
        <v>Unknown</v>
      </c>
      <c r="T7" s="157" t="str">
        <f ca="1">IF(B7="","",IF(ISERROR(MATCH($J7,SorP!$B$1:$B$5662,0)),"",INDIRECT("'SorP'!$A$"&amp;MATCH($J7,SorP!$B$1:$B$5662,0))))</f>
        <v>CN-GD</v>
      </c>
      <c r="U7" s="170"/>
      <c r="V7" s="171">
        <f ca="1">IF(C7="",NA(),MATCH($B7&amp;$C7,'Smelter Look-up'!$J:$J,0))</f>
        <v>121</v>
      </c>
      <c r="X7" s="172">
        <f t="shared" ca="1" si="1"/>
        <v>0</v>
      </c>
      <c r="AB7" s="172" t="str">
        <f t="shared" ca="1" si="2"/>
        <v>CobaltZhuhai Kelixin Metal Materials Co., Ltd.</v>
      </c>
    </row>
    <row r="8" spans="1:34" s="172" customFormat="1" ht="20">
      <c r="A8" s="201" t="s">
        <v>120</v>
      </c>
      <c r="B8" s="151" t="str">
        <f ca="1">IF(LEN(A8)=0,"",INDEX('Smelter Look-up'!$A:$A,MATCH($A8,'Smelter Look-up'!$E:$E,0)))</f>
        <v>Cobalt</v>
      </c>
      <c r="C8" s="154" t="str">
        <f ca="1">IF(LEN(A8)=0,"",INDEX('Smelter Look-up'!$C:$C,MATCH($A8,'Smelter Look-up'!$E:$E,0)))</f>
        <v>Ganzhou Tengyuan Cobalt New Material Co., Ltd.</v>
      </c>
      <c r="D8" s="151"/>
      <c r="E8" s="151" t="str">
        <f ca="1">IF(ISERROR($V8),"",OFFSET('Smelter Look-up'!$D$4,$V8-4,0)&amp;"")</f>
        <v>CHINA</v>
      </c>
      <c r="F8" s="151" t="str">
        <f ca="1">IF(ISERROR($V8),"",OFFSET('Smelter Look-up'!$E$4,$V8-4,0))</f>
        <v>CID003212</v>
      </c>
      <c r="G8" s="151" t="str">
        <f ca="1">IF(C8=$X$4,"Enter smelter details",IF(ISERROR($V8),"",OFFSET('Smelter Look-up'!$F$4,$V8-4,0)))</f>
        <v>RMI</v>
      </c>
      <c r="H8" s="209">
        <f ca="1">IF(ISERROR($V8),"",OFFSET('Smelter Look-up'!$G$4,$V8-4,0))</f>
        <v>0</v>
      </c>
      <c r="I8" s="210" t="str">
        <f ca="1">IF(ISERROR($V8),"",OFFSET('Smelter Look-up'!$H$4,$V8-4,0))</f>
        <v>Ganzhou</v>
      </c>
      <c r="J8" s="210" t="str">
        <f ca="1">IF(ISERROR($V8),"",OFFSET('Smelter Look-up'!$I$4,$V8-4,0))</f>
        <v>Jiangxi Sheng</v>
      </c>
      <c r="K8" s="152"/>
      <c r="L8" s="152"/>
      <c r="M8" s="152"/>
      <c r="N8" s="152"/>
      <c r="O8" s="152"/>
      <c r="P8" s="212"/>
      <c r="Q8" s="153"/>
      <c r="R8" s="151" t="str">
        <f ca="1">IF(ISERROR($V8),"",OFFSET('Smelter Look-up'!$C$4,$V8-4,0)&amp;"")</f>
        <v>Ganzhou Tengyuan Cobalt New Material Co., Ltd.</v>
      </c>
      <c r="S8" s="157" t="str">
        <f t="shared" ca="1" si="0"/>
        <v>Unknown</v>
      </c>
      <c r="T8" s="157" t="str">
        <f ca="1">IF(B8="","",IF(ISERROR(MATCH($J8,SorP!$B$1:$B$5662,0)),"",INDIRECT("'SorP'!$A$"&amp;MATCH($J8,SorP!$B$1:$B$5662,0))))</f>
        <v>CN-JX</v>
      </c>
      <c r="U8" s="170"/>
      <c r="V8" s="171">
        <f ca="1">IF(C8="",NA(),MATCH($B8&amp;$C8,'Smelter Look-up'!$J:$J,0))</f>
        <v>22</v>
      </c>
      <c r="X8" s="172">
        <f t="shared" ca="1" si="1"/>
        <v>0</v>
      </c>
      <c r="AB8" s="172" t="str">
        <f t="shared" ca="1" si="2"/>
        <v>CobaltGanzhou Tengyuan Cobalt New Material Co., Ltd.</v>
      </c>
    </row>
    <row r="9" spans="1:34" s="172" customFormat="1" ht="20">
      <c r="A9" s="201" t="s">
        <v>135</v>
      </c>
      <c r="B9" s="151" t="str">
        <f ca="1">IF(LEN(A9)=0,"",INDEX('Smelter Look-up'!$A:$A,MATCH($A9,'Smelter Look-up'!$E:$E,0)))</f>
        <v>Cobalt</v>
      </c>
      <c r="C9" s="154" t="str">
        <f ca="1">IF(LEN(A9)=0,"",INDEX('Smelter Look-up'!$C:$C,MATCH($A9,'Smelter Look-up'!$E:$E,0)))</f>
        <v>Guangxi Yinyi Advanced Material Co., Ltd.</v>
      </c>
      <c r="D9" s="151"/>
      <c r="E9" s="151" t="str">
        <f ca="1">IF(ISERROR($V9),"",OFFSET('Smelter Look-up'!$D$4,$V9-4,0)&amp;"")</f>
        <v>CHINA</v>
      </c>
      <c r="F9" s="151" t="str">
        <f ca="1">IF(ISERROR($V9),"",OFFSET('Smelter Look-up'!$E$4,$V9-4,0))</f>
        <v>CID003213</v>
      </c>
      <c r="G9" s="151" t="str">
        <f ca="1">IF(C9=$X$4,"Enter smelter details",IF(ISERROR($V9),"",OFFSET('Smelter Look-up'!$F$4,$V9-4,0)))</f>
        <v>RMI</v>
      </c>
      <c r="H9" s="209">
        <f ca="1">IF(ISERROR($V9),"",OFFSET('Smelter Look-up'!$G$4,$V9-4,0))</f>
        <v>0</v>
      </c>
      <c r="I9" s="210" t="str">
        <f ca="1">IF(ISERROR($V9),"",OFFSET('Smelter Look-up'!$H$4,$V9-4,0))</f>
        <v>Yulin</v>
      </c>
      <c r="J9" s="210" t="str">
        <f ca="1">IF(ISERROR($V9),"",OFFSET('Smelter Look-up'!$I$4,$V9-4,0))</f>
        <v>Guangxi Zhuangzu Zizhiqu</v>
      </c>
      <c r="K9" s="152"/>
      <c r="L9" s="152"/>
      <c r="M9" s="152"/>
      <c r="N9" s="152"/>
      <c r="O9" s="152"/>
      <c r="P9" s="212"/>
      <c r="Q9" s="153"/>
      <c r="R9" s="151" t="str">
        <f ca="1">IF(ISERROR($V9),"",OFFSET('Smelter Look-up'!$C$4,$V9-4,0)&amp;"")</f>
        <v>Guangxi Yinyi Advanced Material Co., Ltd.</v>
      </c>
      <c r="S9" s="157" t="str">
        <f t="shared" ca="1" si="0"/>
        <v>Unknown</v>
      </c>
      <c r="T9" s="157" t="str">
        <f ca="1">IF(B9="","",IF(ISERROR(MATCH($J9,SorP!$B$1:$B$5662,0)),"",INDIRECT("'SorP'!$A$"&amp;MATCH($J9,SorP!$B$1:$B$5662,0))))</f>
        <v>CN-GX</v>
      </c>
      <c r="U9" s="170"/>
      <c r="V9" s="171">
        <f ca="1">IF(C9="",NA(),MATCH($B9&amp;$C9,'Smelter Look-up'!$J:$J,0))</f>
        <v>27</v>
      </c>
      <c r="X9" s="172">
        <f t="shared" ca="1" si="1"/>
        <v>0</v>
      </c>
      <c r="AB9" s="172" t="str">
        <f t="shared" ca="1" si="2"/>
        <v>CobaltGuangxi Yinyi Advanced Material Co., Ltd.</v>
      </c>
    </row>
    <row r="10" spans="1:34" s="172" customFormat="1" ht="20">
      <c r="A10" s="201" t="s">
        <v>210</v>
      </c>
      <c r="B10" s="151" t="str">
        <f ca="1">IF(LEN(A10)=0,"",INDEX('Smelter Look-up'!$A:$A,MATCH($A10,'Smelter Look-up'!$E:$E,0)))</f>
        <v>Cobalt</v>
      </c>
      <c r="C10" s="154" t="str">
        <f ca="1">IF(LEN(A10)=0,"",INDEX('Smelter Look-up'!$C:$C,MATCH($A10,'Smelter Look-up'!$E:$E,0)))</f>
        <v>Tianjin Maolian Science &amp; Technology Co., Ltd.</v>
      </c>
      <c r="D10" s="151"/>
      <c r="E10" s="151" t="str">
        <f ca="1">IF(ISERROR($V10),"",OFFSET('Smelter Look-up'!$D$4,$V10-4,0)&amp;"")</f>
        <v>CHINA</v>
      </c>
      <c r="F10" s="151" t="str">
        <f ca="1">IF(ISERROR($V10),"",OFFSET('Smelter Look-up'!$E$4,$V10-4,0))</f>
        <v>CID003215</v>
      </c>
      <c r="G10" s="151" t="str">
        <f ca="1">IF(C10=$X$4,"Enter smelter details",IF(ISERROR($V10),"",OFFSET('Smelter Look-up'!$F$4,$V10-4,0)))</f>
        <v>RMI</v>
      </c>
      <c r="H10" s="209">
        <f ca="1">IF(ISERROR($V10),"",OFFSET('Smelter Look-up'!$G$4,$V10-4,0))</f>
        <v>0</v>
      </c>
      <c r="I10" s="210" t="str">
        <f ca="1">IF(ISERROR($V10),"",OFFSET('Smelter Look-up'!$H$4,$V10-4,0))</f>
        <v>Tianjin</v>
      </c>
      <c r="J10" s="210" t="str">
        <f ca="1">IF(ISERROR($V10),"",OFFSET('Smelter Look-up'!$I$4,$V10-4,0))</f>
        <v>Tianjin Shi</v>
      </c>
      <c r="K10" s="152"/>
      <c r="L10" s="152"/>
      <c r="M10" s="152"/>
      <c r="N10" s="152"/>
      <c r="O10" s="152"/>
      <c r="P10" s="212"/>
      <c r="Q10" s="153"/>
      <c r="R10" s="151" t="str">
        <f ca="1">IF(ISERROR($V10),"",OFFSET('Smelter Look-up'!$C$4,$V10-4,0)&amp;"")</f>
        <v>Tianjin Maolian Science &amp; Technology Co., Ltd.</v>
      </c>
      <c r="S10" s="157" t="str">
        <f t="shared" ca="1" si="0"/>
        <v>Unknown</v>
      </c>
      <c r="T10" s="157" t="str">
        <f ca="1">IF(B10="","",IF(ISERROR(MATCH($J10,SorP!$B$1:$B$5662,0)),"",INDIRECT("'SorP'!$A$"&amp;MATCH($J10,SorP!$B$1:$B$5662,0))))</f>
        <v>CN-TJ</v>
      </c>
      <c r="U10" s="170"/>
      <c r="V10" s="171">
        <f ca="1">IF(C10="",NA(),MATCH($B10&amp;$C10,'Smelter Look-up'!$J:$J,0))</f>
        <v>105</v>
      </c>
      <c r="X10" s="172">
        <f t="shared" ca="1" si="1"/>
        <v>0</v>
      </c>
      <c r="AB10" s="172" t="str">
        <f t="shared" ca="1" si="2"/>
        <v>CobaltTianjin Maolian Science &amp; Technology Co., Ltd.</v>
      </c>
    </row>
    <row r="11" spans="1:34" s="172" customFormat="1" ht="20">
      <c r="A11" s="202" t="s">
        <v>252</v>
      </c>
      <c r="B11" s="151" t="str">
        <f ca="1">IF(LEN(A11)=0,"",INDEX('Smelter Look-up'!$A:$A,MATCH($A11,'Smelter Look-up'!$E:$E,0)))</f>
        <v>Cobalt</v>
      </c>
      <c r="C11" s="154" t="str">
        <f ca="1">IF(LEN(A11)=0,"",INDEX('Smelter Look-up'!$C:$C,MATCH($A11,'Smelter Look-up'!$E:$E,0)))</f>
        <v>Nantong Xinwei Nickel Cobalt Technology Development Co., Ltd.</v>
      </c>
      <c r="D11" s="151"/>
      <c r="E11" s="151" t="str">
        <f ca="1">IF(ISERROR($V11),"",OFFSET('Smelter Look-up'!$D$4,$V11-4,0)&amp;"")</f>
        <v>CHINA</v>
      </c>
      <c r="F11" s="151" t="str">
        <f ca="1">IF(ISERROR($V11),"",OFFSET('Smelter Look-up'!$E$4,$V11-4,0))</f>
        <v>CID003221</v>
      </c>
      <c r="G11" s="151" t="str">
        <f ca="1">IF(C11=$X$4,"Enter smelter details",IF(ISERROR($V11),"",OFFSET('Smelter Look-up'!$F$4,$V11-4,0)))</f>
        <v>RMI</v>
      </c>
      <c r="H11" s="209">
        <f ca="1">IF(ISERROR($V11),"",OFFSET('Smelter Look-up'!$G$4,$V11-4,0))</f>
        <v>0</v>
      </c>
      <c r="I11" s="210" t="str">
        <f ca="1">IF(ISERROR($V11),"",OFFSET('Smelter Look-up'!$H$4,$V11-4,0))</f>
        <v>Haimei</v>
      </c>
      <c r="J11" s="210" t="str">
        <f ca="1">IF(ISERROR($V11),"",OFFSET('Smelter Look-up'!$I$4,$V11-4,0))</f>
        <v>Jiangsu Sheng</v>
      </c>
      <c r="K11" s="152"/>
      <c r="L11" s="152"/>
      <c r="M11" s="152"/>
      <c r="N11" s="152"/>
      <c r="O11" s="152"/>
      <c r="P11" s="212"/>
      <c r="Q11" s="153"/>
      <c r="R11" s="151" t="str">
        <f ca="1">IF(ISERROR($V11),"",OFFSET('Smelter Look-up'!$C$4,$V11-4,0)&amp;"")</f>
        <v>Nantong Xinwei Nickel Cobalt Technology Development Co., Ltd.</v>
      </c>
      <c r="S11" s="157" t="str">
        <f t="shared" ca="1" si="0"/>
        <v>Unknown</v>
      </c>
      <c r="T11" s="157" t="str">
        <f ca="1">IF(B11="","",IF(ISERROR(MATCH($J11,SorP!$B$1:$B$5662,0)),"",INDIRECT("'SorP'!$A$"&amp;MATCH($J11,SorP!$B$1:$B$5662,0))))</f>
        <v>CN-JS</v>
      </c>
      <c r="U11" s="170"/>
      <c r="V11" s="171">
        <f ca="1">IF(C11="",NA(),MATCH($B11&amp;$C11,'Smelter Look-up'!$J:$J,0))</f>
        <v>80</v>
      </c>
      <c r="X11" s="172">
        <f t="shared" ca="1" si="1"/>
        <v>0</v>
      </c>
      <c r="AB11" s="172" t="str">
        <f t="shared" ca="1" si="2"/>
        <v>CobaltNantong Xinwei Nickel Cobalt Technology Development Co., Ltd.</v>
      </c>
    </row>
    <row r="12" spans="1:34" s="172" customFormat="1" ht="20">
      <c r="A12" s="201" t="s">
        <v>325</v>
      </c>
      <c r="B12" s="151" t="str">
        <f ca="1">IF(LEN(A12)=0,"",INDEX('Smelter Look-up'!$A:$A,MATCH($A12,'Smelter Look-up'!$E:$E,0)))</f>
        <v>Cobalt</v>
      </c>
      <c r="C12" s="154" t="str">
        <f ca="1">IF(LEN(A12)=0,"",INDEX('Smelter Look-up'!$C:$C,MATCH($A12,'Smelter Look-up'!$E:$E,0)))</f>
        <v>Zhejiang Huayou Cobalt Company Limited</v>
      </c>
      <c r="D12" s="151"/>
      <c r="E12" s="151" t="str">
        <f ca="1">IF(ISERROR($V12),"",OFFSET('Smelter Look-up'!$D$4,$V12-4,0)&amp;"")</f>
        <v>CHINA</v>
      </c>
      <c r="F12" s="151" t="str">
        <f ca="1">IF(ISERROR($V12),"",OFFSET('Smelter Look-up'!$E$4,$V12-4,0))</f>
        <v>CID003225</v>
      </c>
      <c r="G12" s="151" t="str">
        <f ca="1">IF(C12=$X$4,"Enter smelter details",IF(ISERROR($V12),"",OFFSET('Smelter Look-up'!$F$4,$V12-4,0)))</f>
        <v>RMI</v>
      </c>
      <c r="H12" s="209">
        <f ca="1">IF(ISERROR($V12),"",OFFSET('Smelter Look-up'!$G$4,$V12-4,0))</f>
        <v>0</v>
      </c>
      <c r="I12" s="210" t="str">
        <f ca="1">IF(ISERROR($V12),"",OFFSET('Smelter Look-up'!$H$4,$V12-4,0))</f>
        <v>Tongxiang</v>
      </c>
      <c r="J12" s="210" t="str">
        <f ca="1">IF(ISERROR($V12),"",OFFSET('Smelter Look-up'!$I$4,$V12-4,0))</f>
        <v>Zhejiang Sheng</v>
      </c>
      <c r="K12" s="152"/>
      <c r="L12" s="152"/>
      <c r="M12" s="152"/>
      <c r="N12" s="152"/>
      <c r="O12" s="152"/>
      <c r="P12" s="212"/>
      <c r="Q12" s="153"/>
      <c r="R12" s="151" t="str">
        <f ca="1">IF(ISERROR($V12),"",OFFSET('Smelter Look-up'!$C$4,$V12-4,0)&amp;"")</f>
        <v>Zhejiang Huayou Cobalt Company Limited</v>
      </c>
      <c r="S12" s="157" t="str">
        <f t="shared" ca="1" si="0"/>
        <v>Unknown</v>
      </c>
      <c r="T12" s="157" t="str">
        <f ca="1">IF(B12="","",IF(ISERROR(MATCH($J12,SorP!$B$1:$B$5662,0)),"",INDIRECT("'SorP'!$A$"&amp;MATCH($J12,SorP!$B$1:$B$5662,0))))</f>
        <v>CN-ZJ</v>
      </c>
      <c r="U12" s="170"/>
      <c r="V12" s="171">
        <f ca="1">IF(C12="",NA(),MATCH($B12&amp;$C12,'Smelter Look-up'!$J:$J,0))</f>
        <v>118</v>
      </c>
      <c r="X12" s="172">
        <f t="shared" ca="1" si="1"/>
        <v>0</v>
      </c>
      <c r="AB12" s="172" t="str">
        <f t="shared" ca="1" si="2"/>
        <v>CobaltZhejiang Huayou Cobalt Company Limited</v>
      </c>
    </row>
    <row r="13" spans="1:34" s="172" customFormat="1" ht="20">
      <c r="A13" s="201" t="s">
        <v>110</v>
      </c>
      <c r="B13" s="151" t="str">
        <f ca="1">IF(LEN(A13)=0,"",INDEX('Smelter Look-up'!$A:$A,MATCH($A13,'Smelter Look-up'!$E:$E,0)))</f>
        <v>Cobalt</v>
      </c>
      <c r="C13" s="154" t="str">
        <f ca="1">IF(LEN(A13)=0,"",INDEX('Smelter Look-up'!$C:$C,MATCH($A13,'Smelter Look-up'!$E:$E,0)))</f>
        <v>Umicore Finland Oy</v>
      </c>
      <c r="D13" s="151"/>
      <c r="E13" s="151" t="str">
        <f ca="1">IF(ISERROR($V13),"",OFFSET('Smelter Look-up'!$D$4,$V13-4,0)&amp;"")</f>
        <v>FINLAND</v>
      </c>
      <c r="F13" s="151" t="str">
        <f ca="1">IF(ISERROR($V13),"",OFFSET('Smelter Look-up'!$E$4,$V13-4,0))</f>
        <v>CID003226</v>
      </c>
      <c r="G13" s="151" t="str">
        <f ca="1">IF(C13=$X$4,"Enter smelter details",IF(ISERROR($V13),"",OFFSET('Smelter Look-up'!$F$4,$V13-4,0)))</f>
        <v>RMI</v>
      </c>
      <c r="H13" s="209">
        <f ca="1">IF(ISERROR($V13),"",OFFSET('Smelter Look-up'!$G$4,$V13-4,0))</f>
        <v>0</v>
      </c>
      <c r="I13" s="210" t="str">
        <f ca="1">IF(ISERROR($V13),"",OFFSET('Smelter Look-up'!$H$4,$V13-4,0))</f>
        <v>Kokkola</v>
      </c>
      <c r="J13" s="210" t="str">
        <f ca="1">IF(ISERROR($V13),"",OFFSET('Smelter Look-up'!$I$4,$V13-4,0))</f>
        <v>Mellersta Österbotten</v>
      </c>
      <c r="K13" s="152"/>
      <c r="L13" s="152"/>
      <c r="M13" s="152"/>
      <c r="N13" s="152"/>
      <c r="O13" s="152"/>
      <c r="P13" s="212"/>
      <c r="Q13" s="153"/>
      <c r="R13" s="151" t="str">
        <f ca="1">IF(ISERROR($V13),"",OFFSET('Smelter Look-up'!$C$4,$V13-4,0)&amp;"")</f>
        <v>Umicore Finland Oy</v>
      </c>
      <c r="S13" s="157" t="str">
        <f t="shared" ca="1" si="0"/>
        <v>Unknown</v>
      </c>
      <c r="T13" s="157" t="str">
        <f ca="1">IF(B13="","",IF(ISERROR(MATCH($J13,SorP!$B$1:$B$5662,0)),"",INDIRECT("'SorP'!$A$"&amp;MATCH($J13,SorP!$B$1:$B$5662,0))))</f>
        <v>FI-07</v>
      </c>
      <c r="U13" s="170"/>
      <c r="V13" s="171">
        <f ca="1">IF(C13="",NA(),MATCH($B13&amp;$C13,'Smelter Look-up'!$J:$J,0))</f>
        <v>106</v>
      </c>
      <c r="X13" s="172">
        <f t="shared" ca="1" si="1"/>
        <v>0</v>
      </c>
      <c r="AB13" s="172" t="str">
        <f t="shared" ca="1" si="2"/>
        <v>CobaltUmicore Finland Oy</v>
      </c>
    </row>
    <row r="14" spans="1:34" s="172" customFormat="1" ht="20">
      <c r="A14" s="202" t="s">
        <v>302</v>
      </c>
      <c r="B14" s="151" t="str">
        <f ca="1">IF(LEN(A14)=0,"",INDEX('Smelter Look-up'!$A:$A,MATCH($A14,'Smelter Look-up'!$E:$E,0)))</f>
        <v>Cobalt</v>
      </c>
      <c r="C14" s="154" t="str">
        <f ca="1">IF(LEN(A14)=0,"",INDEX('Smelter Look-up'!$C:$C,MATCH($A14,'Smelter Look-up'!$E:$E,0)))</f>
        <v>Umicore Olen</v>
      </c>
      <c r="D14" s="151"/>
      <c r="E14" s="151" t="str">
        <f ca="1">IF(ISERROR($V14),"",OFFSET('Smelter Look-up'!$D$4,$V14-4,0)&amp;"")</f>
        <v>BELGIUM</v>
      </c>
      <c r="F14" s="151" t="str">
        <f ca="1">IF(ISERROR($V14),"",OFFSET('Smelter Look-up'!$E$4,$V14-4,0))</f>
        <v>CID003228</v>
      </c>
      <c r="G14" s="151" t="str">
        <f ca="1">IF(C14=$X$4,"Enter smelter details",IF(ISERROR($V14),"",OFFSET('Smelter Look-up'!$F$4,$V14-4,0)))</f>
        <v>RMI</v>
      </c>
      <c r="H14" s="209">
        <f ca="1">IF(ISERROR($V14),"",OFFSET('Smelter Look-up'!$G$4,$V14-4,0))</f>
        <v>0</v>
      </c>
      <c r="I14" s="210" t="str">
        <f ca="1">IF(ISERROR($V14),"",OFFSET('Smelter Look-up'!$H$4,$V14-4,0))</f>
        <v>Olen</v>
      </c>
      <c r="J14" s="210" t="str">
        <f ca="1">IF(ISERROR($V14),"",OFFSET('Smelter Look-up'!$I$4,$V14-4,0))</f>
        <v>Antwerpen</v>
      </c>
      <c r="K14" s="152"/>
      <c r="L14" s="152"/>
      <c r="M14" s="152"/>
      <c r="N14" s="152"/>
      <c r="O14" s="152"/>
      <c r="P14" s="212"/>
      <c r="Q14" s="153"/>
      <c r="R14" s="151" t="str">
        <f ca="1">IF(ISERROR($V14),"",OFFSET('Smelter Look-up'!$C$4,$V14-4,0)&amp;"")</f>
        <v>Umicore Olen</v>
      </c>
      <c r="S14" s="157" t="str">
        <f t="shared" ca="1" si="0"/>
        <v>Unknown</v>
      </c>
      <c r="T14" s="157" t="str">
        <f ca="1">IF(B14="","",IF(ISERROR(MATCH($J14,SorP!$B$1:$B$5662,0)),"",INDIRECT("'SorP'!$A$"&amp;MATCH($J14,SorP!$B$1:$B$5662,0))))</f>
        <v>BE-VAN</v>
      </c>
      <c r="U14" s="170"/>
      <c r="V14" s="171">
        <f ca="1">IF(C14="",NA(),MATCH($B14&amp;$C14,'Smelter Look-up'!$J:$J,0))</f>
        <v>107</v>
      </c>
      <c r="X14" s="172">
        <f t="shared" ca="1" si="1"/>
        <v>0</v>
      </c>
      <c r="AB14" s="172" t="str">
        <f t="shared" ca="1" si="2"/>
        <v>CobaltUmicore Olen</v>
      </c>
    </row>
    <row r="15" spans="1:34" s="172" customFormat="1" ht="20">
      <c r="A15" s="202" t="s">
        <v>96</v>
      </c>
      <c r="B15" s="151" t="str">
        <f ca="1">IF(LEN(A15)=0,"",INDEX('Smelter Look-up'!$A:$A,MATCH($A15,'Smelter Look-up'!$E:$E,0)))</f>
        <v>Cobalt</v>
      </c>
      <c r="C15" s="154" t="str">
        <f ca="1">IF(LEN(A15)=0,"",INDEX('Smelter Look-up'!$C:$C,MATCH($A15,'Smelter Look-up'!$E:$E,0)))</f>
        <v>Dynatec Madagascar Company</v>
      </c>
      <c r="D15" s="151"/>
      <c r="E15" s="151" t="str">
        <f ca="1">IF(ISERROR($V15),"",OFFSET('Smelter Look-up'!$D$4,$V15-4,0)&amp;"")</f>
        <v>MADAGASCAR</v>
      </c>
      <c r="F15" s="151" t="str">
        <f ca="1">IF(ISERROR($V15),"",OFFSET('Smelter Look-up'!$E$4,$V15-4,0))</f>
        <v>CID003232</v>
      </c>
      <c r="G15" s="151" t="str">
        <f ca="1">IF(C15=$X$4,"Enter smelter details",IF(ISERROR($V15),"",OFFSET('Smelter Look-up'!$F$4,$V15-4,0)))</f>
        <v>RMI</v>
      </c>
      <c r="H15" s="209">
        <f ca="1">IF(ISERROR($V15),"",OFFSET('Smelter Look-up'!$G$4,$V15-4,0))</f>
        <v>0</v>
      </c>
      <c r="I15" s="210" t="str">
        <f ca="1">IF(ISERROR($V15),"",OFFSET('Smelter Look-up'!$H$4,$V15-4,0))</f>
        <v>Toamasina</v>
      </c>
      <c r="J15" s="210" t="str">
        <f ca="1">IF(ISERROR($V15),"",OFFSET('Smelter Look-up'!$I$4,$V15-4,0))</f>
        <v>Toamasina</v>
      </c>
      <c r="K15" s="152"/>
      <c r="L15" s="152"/>
      <c r="M15" s="152"/>
      <c r="N15" s="152"/>
      <c r="O15" s="152"/>
      <c r="P15" s="212"/>
      <c r="Q15" s="153"/>
      <c r="R15" s="151" t="str">
        <f ca="1">IF(ISERROR($V15),"",OFFSET('Smelter Look-up'!$C$4,$V15-4,0)&amp;"")</f>
        <v>Dynatec Madagascar Company</v>
      </c>
      <c r="S15" s="157" t="str">
        <f t="shared" ca="1" si="0"/>
        <v>Unknown</v>
      </c>
      <c r="T15" s="157" t="str">
        <f ca="1">IF(B15="","",IF(ISERROR(MATCH($J15,SorP!$B$1:$B$5662,0)),"",INDIRECT("'SorP'!$A$"&amp;MATCH($J15,SorP!$B$1:$B$5662,0))))</f>
        <v>MG-A</v>
      </c>
      <c r="U15" s="170"/>
      <c r="V15" s="171">
        <f ca="1">IF(C15="",NA(),MATCH($B15&amp;$C15,'Smelter Look-up'!$J:$J,0))</f>
        <v>15</v>
      </c>
      <c r="X15" s="172">
        <f t="shared" ca="1" si="1"/>
        <v>0</v>
      </c>
      <c r="AB15" s="172" t="str">
        <f t="shared" ca="1" si="2"/>
        <v>CobaltDynatec Madagascar Company</v>
      </c>
    </row>
    <row r="16" spans="1:34" s="172" customFormat="1" ht="20">
      <c r="A16" s="201" t="s">
        <v>280</v>
      </c>
      <c r="B16" s="151" t="str">
        <f ca="1">IF(LEN(A16)=0,"",INDEX('Smelter Look-up'!$A:$A,MATCH($A16,'Smelter Look-up'!$E:$E,0)))</f>
        <v>Cobalt</v>
      </c>
      <c r="C16" s="154" t="str">
        <f ca="1">IF(LEN(A16)=0,"",INDEX('Smelter Look-up'!$C:$C,MATCH($A16,'Smelter Look-up'!$E:$E,0)))</f>
        <v>Quzhou Huayou Cobalt New Material Co., Ltd.</v>
      </c>
      <c r="D16" s="151"/>
      <c r="E16" s="151" t="str">
        <f ca="1">IF(ISERROR($V16),"",OFFSET('Smelter Look-up'!$D$4,$V16-4,0)&amp;"")</f>
        <v>CHINA</v>
      </c>
      <c r="F16" s="151" t="str">
        <f ca="1">IF(ISERROR($V16),"",OFFSET('Smelter Look-up'!$E$4,$V16-4,0))</f>
        <v>CID003255</v>
      </c>
      <c r="G16" s="151" t="str">
        <f ca="1">IF(C16=$X$4,"Enter smelter details",IF(ISERROR($V16),"",OFFSET('Smelter Look-up'!$F$4,$V16-4,0)))</f>
        <v>RMI</v>
      </c>
      <c r="H16" s="209">
        <f ca="1">IF(ISERROR($V16),"",OFFSET('Smelter Look-up'!$G$4,$V16-4,0))</f>
        <v>0</v>
      </c>
      <c r="I16" s="210" t="str">
        <f ca="1">IF(ISERROR($V16),"",OFFSET('Smelter Look-up'!$H$4,$V16-4,0))</f>
        <v>Quzhou</v>
      </c>
      <c r="J16" s="210" t="str">
        <f ca="1">IF(ISERROR($V16),"",OFFSET('Smelter Look-up'!$I$4,$V16-4,0))</f>
        <v>Zhejiang Sheng</v>
      </c>
      <c r="K16" s="152"/>
      <c r="L16" s="152"/>
      <c r="M16" s="152"/>
      <c r="N16" s="152"/>
      <c r="O16" s="152"/>
      <c r="P16" s="212"/>
      <c r="Q16" s="153"/>
      <c r="R16" s="151" t="str">
        <f ca="1">IF(ISERROR($V16),"",OFFSET('Smelter Look-up'!$C$4,$V16-4,0)&amp;"")</f>
        <v>Quzhou Huayou Cobalt New Material Co., Ltd.</v>
      </c>
      <c r="S16" s="157" t="str">
        <f t="shared" ca="1" si="0"/>
        <v>Unknown</v>
      </c>
      <c r="T16" s="157" t="str">
        <f ca="1">IF(B16="","",IF(ISERROR(MATCH($J16,SorP!$B$1:$B$5662,0)),"",INDIRECT("'SorP'!$A$"&amp;MATCH($J16,SorP!$B$1:$B$5662,0))))</f>
        <v>CN-ZJ</v>
      </c>
      <c r="U16" s="170"/>
      <c r="V16" s="171">
        <f ca="1">IF(C16="",NA(),MATCH($B16&amp;$C16,'Smelter Look-up'!$J:$J,0))</f>
        <v>91</v>
      </c>
      <c r="X16" s="172">
        <f t="shared" ca="1" si="1"/>
        <v>0</v>
      </c>
      <c r="AB16" s="172" t="str">
        <f t="shared" ca="1" si="2"/>
        <v>CobaltQuzhou Huayou Cobalt New Material Co., Ltd.</v>
      </c>
    </row>
    <row r="17" spans="1:28" s="172" customFormat="1" ht="20">
      <c r="A17" s="201" t="s">
        <v>259</v>
      </c>
      <c r="B17" s="151" t="str">
        <f ca="1">IF(LEN(A17)=0,"",INDEX('Smelter Look-up'!$A:$A,MATCH($A17,'Smelter Look-up'!$E:$E,0)))</f>
        <v>Cobalt</v>
      </c>
      <c r="C17" s="154" t="str">
        <f ca="1">IF(LEN(A17)=0,"",INDEX('Smelter Look-up'!$C:$C,MATCH($A17,'Smelter Look-up'!$E:$E,0)))</f>
        <v>Niihama Nickel Refinery, Sumitomo Metal Mining</v>
      </c>
      <c r="D17" s="151"/>
      <c r="E17" s="151" t="str">
        <f ca="1">IF(ISERROR($V17),"",OFFSET('Smelter Look-up'!$D$4,$V17-4,0)&amp;"")</f>
        <v>JAPAN</v>
      </c>
      <c r="F17" s="151" t="str">
        <f ca="1">IF(ISERROR($V17),"",OFFSET('Smelter Look-up'!$E$4,$V17-4,0))</f>
        <v>CID003278</v>
      </c>
      <c r="G17" s="151" t="str">
        <f ca="1">IF(C17=$X$4,"Enter smelter details",IF(ISERROR($V17),"",OFFSET('Smelter Look-up'!$F$4,$V17-4,0)))</f>
        <v>RMI</v>
      </c>
      <c r="H17" s="209">
        <f ca="1">IF(ISERROR($V17),"",OFFSET('Smelter Look-up'!$G$4,$V17-4,0))</f>
        <v>0</v>
      </c>
      <c r="I17" s="210" t="str">
        <f ca="1">IF(ISERROR($V17),"",OFFSET('Smelter Look-up'!$H$4,$V17-4,0))</f>
        <v>Niihama</v>
      </c>
      <c r="J17" s="210" t="str">
        <f ca="1">IF(ISERROR($V17),"",OFFSET('Smelter Look-up'!$I$4,$V17-4,0))</f>
        <v>Ehime</v>
      </c>
      <c r="K17" s="152"/>
      <c r="L17" s="152"/>
      <c r="M17" s="152"/>
      <c r="N17" s="152"/>
      <c r="O17" s="152"/>
      <c r="P17" s="212"/>
      <c r="Q17" s="153"/>
      <c r="R17" s="151" t="str">
        <f ca="1">IF(ISERROR($V17),"",OFFSET('Smelter Look-up'!$C$4,$V17-4,0)&amp;"")</f>
        <v>Niihama Nickel Refinery, Sumitomo Metal Mining</v>
      </c>
      <c r="S17" s="157" t="str">
        <f t="shared" ca="1" si="0"/>
        <v>Unknown</v>
      </c>
      <c r="T17" s="157" t="str">
        <f ca="1">IF(B17="","",IF(ISERROR(MATCH($J17,SorP!$B$1:$B$5662,0)),"",INDIRECT("'SorP'!$A$"&amp;MATCH($J17,SorP!$B$1:$B$5662,0))))</f>
        <v>JP-38</v>
      </c>
      <c r="U17" s="170"/>
      <c r="V17" s="171">
        <f ca="1">IF(C17="",NA(),MATCH($B17&amp;$C17,'Smelter Look-up'!$J:$J,0))</f>
        <v>85</v>
      </c>
      <c r="X17" s="172">
        <f t="shared" ca="1" si="1"/>
        <v>0</v>
      </c>
      <c r="AB17" s="172" t="str">
        <f t="shared" ca="1" si="2"/>
        <v>CobaltNiihama Nickel Refinery, Sumitomo Metal Mining</v>
      </c>
    </row>
    <row r="18" spans="1:28" s="172" customFormat="1" ht="20">
      <c r="A18" s="201" t="s">
        <v>240</v>
      </c>
      <c r="B18" s="151" t="str">
        <f ca="1">IF(LEN(A18)=0,"",INDEX('Smelter Look-up'!$A:$A,MATCH($A18,'Smelter Look-up'!$E:$E,0)))</f>
        <v>Cobalt</v>
      </c>
      <c r="C18" s="154" t="str">
        <f ca="1">IF(LEN(A18)=0,"",INDEX('Smelter Look-up'!$C:$C,MATCH($A18,'Smelter Look-up'!$E:$E,0)))</f>
        <v>Mine de Bou-Azzer</v>
      </c>
      <c r="D18" s="151"/>
      <c r="E18" s="151" t="str">
        <f ca="1">IF(ISERROR($V18),"",OFFSET('Smelter Look-up'!$D$4,$V18-4,0)&amp;"")</f>
        <v>MOROCCO</v>
      </c>
      <c r="F18" s="151" t="str">
        <f ca="1">IF(ISERROR($V18),"",OFFSET('Smelter Look-up'!$E$4,$V18-4,0))</f>
        <v>CID003279</v>
      </c>
      <c r="G18" s="151" t="str">
        <f ca="1">IF(C18=$X$4,"Enter smelter details",IF(ISERROR($V18),"",OFFSET('Smelter Look-up'!$F$4,$V18-4,0)))</f>
        <v>RMI</v>
      </c>
      <c r="H18" s="209">
        <f ca="1">IF(ISERROR($V18),"",OFFSET('Smelter Look-up'!$G$4,$V18-4,0))</f>
        <v>0</v>
      </c>
      <c r="I18" s="210" t="str">
        <f ca="1">IF(ISERROR($V18),"",OFFSET('Smelter Look-up'!$H$4,$V18-4,0))</f>
        <v>Tazenakht</v>
      </c>
      <c r="J18" s="210" t="str">
        <f ca="1">IF(ISERROR($V18),"",OFFSET('Smelter Look-up'!$I$4,$V18-4,0))</f>
        <v>Drâa-Tafilalet</v>
      </c>
      <c r="K18" s="152"/>
      <c r="L18" s="152"/>
      <c r="M18" s="152"/>
      <c r="N18" s="152"/>
      <c r="O18" s="152"/>
      <c r="P18" s="212"/>
      <c r="Q18" s="153"/>
      <c r="R18" s="151" t="str">
        <f ca="1">IF(ISERROR($V18),"",OFFSET('Smelter Look-up'!$C$4,$V18-4,0)&amp;"")</f>
        <v>Mine de Bou-Azzer</v>
      </c>
      <c r="S18" s="157" t="str">
        <f t="shared" ca="1" si="0"/>
        <v>Unknown</v>
      </c>
      <c r="T18" s="157" t="str">
        <f ca="1">IF(B18="","",IF(ISERROR(MATCH($J18,SorP!$B$1:$B$5662,0)),"",INDIRECT("'SorP'!$A$"&amp;MATCH($J18,SorP!$B$1:$B$5662,0))))</f>
        <v>MA-08</v>
      </c>
      <c r="U18" s="170"/>
      <c r="V18" s="171">
        <f ca="1">IF(C18="",NA(),MATCH($B18&amp;$C18,'Smelter Look-up'!$J:$J,0))</f>
        <v>72</v>
      </c>
      <c r="X18" s="172">
        <f t="shared" ca="1" si="1"/>
        <v>0</v>
      </c>
      <c r="AB18" s="172" t="str">
        <f t="shared" ca="1" si="2"/>
        <v>CobaltMine de Bou-Azzer</v>
      </c>
    </row>
    <row r="19" spans="1:28" s="172" customFormat="1" ht="20">
      <c r="A19" s="201" t="s">
        <v>80</v>
      </c>
      <c r="B19" s="151" t="str">
        <f ca="1">IF(LEN(A19)=0,"",INDEX('Smelter Look-up'!$A:$A,MATCH($A19,'Smelter Look-up'!$E:$E,0)))</f>
        <v>Cobalt</v>
      </c>
      <c r="C19" s="154" t="str">
        <f ca="1">IF(LEN(A19)=0,"",INDEX('Smelter Look-up'!$C:$C,MATCH($A19,'Smelter Look-up'!$E:$E,0)))</f>
        <v>Compagnie de Tifnout Tiranimine</v>
      </c>
      <c r="D19" s="151"/>
      <c r="E19" s="151" t="str">
        <f ca="1">IF(ISERROR($V19),"",OFFSET('Smelter Look-up'!$D$4,$V19-4,0)&amp;"")</f>
        <v>MOROCCO</v>
      </c>
      <c r="F19" s="151" t="str">
        <f ca="1">IF(ISERROR($V19),"",OFFSET('Smelter Look-up'!$E$4,$V19-4,0))</f>
        <v>CID003280</v>
      </c>
      <c r="G19" s="151" t="str">
        <f ca="1">IF(C19=$X$4,"Enter smelter details",IF(ISERROR($V19),"",OFFSET('Smelter Look-up'!$F$4,$V19-4,0)))</f>
        <v>RMI</v>
      </c>
      <c r="H19" s="209">
        <f ca="1">IF(ISERROR($V19),"",OFFSET('Smelter Look-up'!$G$4,$V19-4,0))</f>
        <v>0</v>
      </c>
      <c r="I19" s="210" t="str">
        <f ca="1">IF(ISERROR($V19),"",OFFSET('Smelter Look-up'!$H$4,$V19-4,0))</f>
        <v>Marrakech</v>
      </c>
      <c r="J19" s="210" t="str">
        <f ca="1">IF(ISERROR($V19),"",OFFSET('Smelter Look-up'!$I$4,$V19-4,0))</f>
        <v>Marrakech-Safi</v>
      </c>
      <c r="K19" s="152"/>
      <c r="L19" s="152"/>
      <c r="M19" s="152"/>
      <c r="N19" s="152"/>
      <c r="O19" s="152"/>
      <c r="P19" s="212"/>
      <c r="Q19" s="153"/>
      <c r="R19" s="151" t="str">
        <f ca="1">IF(ISERROR($V19),"",OFFSET('Smelter Look-up'!$C$4,$V19-4,0)&amp;"")</f>
        <v>Compagnie de Tifnout Tiranimine</v>
      </c>
      <c r="S19" s="157" t="str">
        <f t="shared" ca="1" si="0"/>
        <v>Unknown</v>
      </c>
      <c r="T19" s="157" t="str">
        <f ca="1">IF(B19="","",IF(ISERROR(MATCH($J19,SorP!$B$1:$B$5662,0)),"",INDIRECT("'SorP'!$A$"&amp;MATCH($J19,SorP!$B$1:$B$5662,0))))</f>
        <v>MA-07</v>
      </c>
      <c r="U19" s="170"/>
      <c r="V19" s="171">
        <f ca="1">IF(C19="",NA(),MATCH($B19&amp;$C19,'Smelter Look-up'!$J:$J,0))</f>
        <v>10</v>
      </c>
      <c r="X19" s="172">
        <f t="shared" ca="1" si="1"/>
        <v>0</v>
      </c>
      <c r="AB19" s="172" t="str">
        <f t="shared" ca="1" si="2"/>
        <v>CobaltCompagnie de Tifnout Tiranimine</v>
      </c>
    </row>
    <row r="20" spans="1:28" s="172" customFormat="1" ht="20">
      <c r="A20" s="202" t="s">
        <v>131</v>
      </c>
      <c r="B20" s="151" t="str">
        <f ca="1">IF(LEN(A20)=0,"",INDEX('Smelter Look-up'!$A:$A,MATCH($A20,'Smelter Look-up'!$E:$E,0)))</f>
        <v>Cobalt</v>
      </c>
      <c r="C20" s="154" t="str">
        <f ca="1">IF(LEN(A20)=0,"",INDEX('Smelter Look-up'!$C:$C,MATCH($A20,'Smelter Look-up'!$E:$E,0)))</f>
        <v>Guangdong Jiana Energy Technology Co., Ltd.</v>
      </c>
      <c r="D20" s="151"/>
      <c r="E20" s="151" t="str">
        <f ca="1">IF(ISERROR($V20),"",OFFSET('Smelter Look-up'!$D$4,$V20-4,0)&amp;"")</f>
        <v>CHINA</v>
      </c>
      <c r="F20" s="151" t="str">
        <f ca="1">IF(ISERROR($V20),"",OFFSET('Smelter Look-up'!$E$4,$V20-4,0))</f>
        <v>CID003291</v>
      </c>
      <c r="G20" s="151" t="str">
        <f ca="1">IF(C20=$X$4,"Enter smelter details",IF(ISERROR($V20),"",OFFSET('Smelter Look-up'!$F$4,$V20-4,0)))</f>
        <v>RMI</v>
      </c>
      <c r="H20" s="209">
        <f ca="1">IF(ISERROR($V20),"",OFFSET('Smelter Look-up'!$G$4,$V20-4,0))</f>
        <v>0</v>
      </c>
      <c r="I20" s="210" t="str">
        <f ca="1">IF(ISERROR($V20),"",OFFSET('Smelter Look-up'!$H$4,$V20-4,0))</f>
        <v>Guangzhou</v>
      </c>
      <c r="J20" s="210" t="str">
        <f ca="1">IF(ISERROR($V20),"",OFFSET('Smelter Look-up'!$I$4,$V20-4,0))</f>
        <v>Guangdong Sheng</v>
      </c>
      <c r="K20" s="152"/>
      <c r="L20" s="152"/>
      <c r="M20" s="152"/>
      <c r="N20" s="152"/>
      <c r="O20" s="152"/>
      <c r="P20" s="212"/>
      <c r="Q20" s="153"/>
      <c r="R20" s="151" t="str">
        <f ca="1">IF(ISERROR($V20),"",OFFSET('Smelter Look-up'!$C$4,$V20-4,0)&amp;"")</f>
        <v>Guangdong Jiana Energy Technology Co., Ltd.</v>
      </c>
      <c r="S20" s="157" t="str">
        <f t="shared" ca="1" si="0"/>
        <v>Unknown</v>
      </c>
      <c r="T20" s="157" t="str">
        <f ca="1">IF(B20="","",IF(ISERROR(MATCH($J20,SorP!$B$1:$B$5662,0)),"",INDIRECT("'SorP'!$A$"&amp;MATCH($J20,SorP!$B$1:$B$5662,0))))</f>
        <v>CN-GD</v>
      </c>
      <c r="U20" s="170"/>
      <c r="V20" s="171">
        <f ca="1">IF(C20="",NA(),MATCH($B20&amp;$C20,'Smelter Look-up'!$J:$J,0))</f>
        <v>26</v>
      </c>
      <c r="X20" s="172">
        <f t="shared" ca="1" si="1"/>
        <v>0</v>
      </c>
      <c r="AB20" s="172" t="str">
        <f t="shared" ca="1" si="2"/>
        <v>CobaltGuangdong Jiana Energy Technology Co., Ltd.</v>
      </c>
    </row>
    <row r="21" spans="1:28" s="172" customFormat="1" ht="20">
      <c r="A21" s="201" t="s">
        <v>175</v>
      </c>
      <c r="B21" s="151" t="str">
        <f ca="1">IF(LEN(A21)=0,"",INDEX('Smelter Look-up'!$A:$A,MATCH($A21,'Smelter Look-up'!$E:$E,0)))</f>
        <v>Cobalt</v>
      </c>
      <c r="C21" s="154" t="str">
        <f ca="1">IF(LEN(A21)=0,"",INDEX('Smelter Look-up'!$C:$C,MATCH($A21,'Smelter Look-up'!$E:$E,0)))</f>
        <v>Jiangsu Xiongfeng Technology Co., Ltd.</v>
      </c>
      <c r="D21" s="151"/>
      <c r="E21" s="151" t="str">
        <f ca="1">IF(ISERROR($V21),"",OFFSET('Smelter Look-up'!$D$4,$V21-4,0)&amp;"")</f>
        <v>CHINA</v>
      </c>
      <c r="F21" s="151" t="str">
        <f ca="1">IF(ISERROR($V21),"",OFFSET('Smelter Look-up'!$E$4,$V21-4,0))</f>
        <v>CID003293</v>
      </c>
      <c r="G21" s="151" t="str">
        <f ca="1">IF(C21=$X$4,"Enter smelter details",IF(ISERROR($V21),"",OFFSET('Smelter Look-up'!$F$4,$V21-4,0)))</f>
        <v>RMI</v>
      </c>
      <c r="H21" s="209">
        <f ca="1">IF(ISERROR($V21),"",OFFSET('Smelter Look-up'!$G$4,$V21-4,0))</f>
        <v>0</v>
      </c>
      <c r="I21" s="210" t="str">
        <f ca="1">IF(ISERROR($V21),"",OFFSET('Smelter Look-up'!$H$4,$V21-4,0))</f>
        <v>Haimen</v>
      </c>
      <c r="J21" s="210" t="str">
        <f ca="1">IF(ISERROR($V21),"",OFFSET('Smelter Look-up'!$I$4,$V21-4,0))</f>
        <v>Jiangsu Sheng</v>
      </c>
      <c r="K21" s="152"/>
      <c r="L21" s="152"/>
      <c r="M21" s="152"/>
      <c r="N21" s="152"/>
      <c r="O21" s="152"/>
      <c r="P21" s="212"/>
      <c r="Q21" s="153"/>
      <c r="R21" s="151" t="str">
        <f ca="1">IF(ISERROR($V21),"",OFFSET('Smelter Look-up'!$C$4,$V21-4,0)&amp;"")</f>
        <v>Jiangsu Xiongfeng Technology Co., Ltd.</v>
      </c>
      <c r="S21" s="157" t="str">
        <f t="shared" ca="1" si="0"/>
        <v>Unknown</v>
      </c>
      <c r="T21" s="157" t="str">
        <f ca="1">IF(B21="","",IF(ISERROR(MATCH($J21,SorP!$B$1:$B$5662,0)),"",INDIRECT("'SorP'!$A$"&amp;MATCH($J21,SorP!$B$1:$B$5662,0))))</f>
        <v>CN-JS</v>
      </c>
      <c r="U21" s="170"/>
      <c r="V21" s="171">
        <f ca="1">IF(C21="",NA(),MATCH($B21&amp;$C21,'Smelter Look-up'!$J:$J,0))</f>
        <v>44</v>
      </c>
      <c r="X21" s="172">
        <f t="shared" ca="1" si="1"/>
        <v>0</v>
      </c>
      <c r="AB21" s="172" t="str">
        <f t="shared" ca="1" si="2"/>
        <v>CobaltJiangsu Xiongfeng Technology Co., Ltd.</v>
      </c>
    </row>
    <row r="22" spans="1:28" s="172" customFormat="1" ht="20">
      <c r="A22" s="201" t="s">
        <v>293</v>
      </c>
      <c r="B22" s="151" t="str">
        <f ca="1">IF(LEN(A22)=0,"",INDEX('Smelter Look-up'!$A:$A,MATCH($A22,'Smelter Look-up'!$E:$E,0)))</f>
        <v>Cobalt</v>
      </c>
      <c r="C22" s="154" t="str">
        <f ca="1">IF(LEN(A22)=0,"",INDEX('Smelter Look-up'!$C:$C,MATCH($A22,'Smelter Look-up'!$E:$E,0)))</f>
        <v>SungEel HiTech Co., Ltd.</v>
      </c>
      <c r="D22" s="151"/>
      <c r="E22" s="151" t="str">
        <f ca="1">IF(ISERROR($V22),"",OFFSET('Smelter Look-up'!$D$4,$V22-4,0)&amp;"")</f>
        <v>KOREA, REPUBLIC OF</v>
      </c>
      <c r="F22" s="151" t="str">
        <f ca="1">IF(ISERROR($V22),"",OFFSET('Smelter Look-up'!$E$4,$V22-4,0))</f>
        <v>CID003338</v>
      </c>
      <c r="G22" s="151" t="str">
        <f ca="1">IF(C22=$X$4,"Enter smelter details",IF(ISERROR($V22),"",OFFSET('Smelter Look-up'!$F$4,$V22-4,0)))</f>
        <v>RMI</v>
      </c>
      <c r="H22" s="209">
        <f ca="1">IF(ISERROR($V22),"",OFFSET('Smelter Look-up'!$G$4,$V22-4,0))</f>
        <v>0</v>
      </c>
      <c r="I22" s="210" t="str">
        <f ca="1">IF(ISERROR($V22),"",OFFSET('Smelter Look-up'!$H$4,$V22-4,0))</f>
        <v>Gunsan-si</v>
      </c>
      <c r="J22" s="210" t="str">
        <f ca="1">IF(ISERROR($V22),"",OFFSET('Smelter Look-up'!$I$4,$V22-4,0))</f>
        <v>Jeollabuk-do</v>
      </c>
      <c r="K22" s="152"/>
      <c r="L22" s="152"/>
      <c r="M22" s="152"/>
      <c r="N22" s="152"/>
      <c r="O22" s="152"/>
      <c r="P22" s="212"/>
      <c r="Q22" s="153"/>
      <c r="R22" s="151" t="str">
        <f ca="1">IF(ISERROR($V22),"",OFFSET('Smelter Look-up'!$C$4,$V22-4,0)&amp;"")</f>
        <v>SungEel HiTech Co., Ltd.</v>
      </c>
      <c r="S22" s="157" t="str">
        <f t="shared" ca="1" si="0"/>
        <v>Unknown</v>
      </c>
      <c r="T22" s="157" t="str">
        <f ca="1">IF(B22="","",IF(ISERROR(MATCH($J22,SorP!$B$1:$B$5662,0)),"",INDIRECT("'SorP'!$A$"&amp;MATCH($J22,SorP!$B$1:$B$5662,0))))</f>
        <v>KR-45</v>
      </c>
      <c r="U22" s="170"/>
      <c r="V22" s="171">
        <f ca="1">IF(C22="",NA(),MATCH($B22&amp;$C22,'Smelter Look-up'!$J:$J,0))</f>
        <v>100</v>
      </c>
      <c r="X22" s="172">
        <f t="shared" ca="1" si="1"/>
        <v>0</v>
      </c>
      <c r="AB22" s="172" t="str">
        <f t="shared" ca="1" si="2"/>
        <v>CobaltSungEel HiTech Co., Ltd.</v>
      </c>
    </row>
    <row r="23" spans="1:28" s="172" customFormat="1" ht="20">
      <c r="A23" s="201" t="s">
        <v>178</v>
      </c>
      <c r="B23" s="151" t="str">
        <f ca="1">IF(LEN(A23)=0,"",INDEX('Smelter Look-up'!$A:$A,MATCH($A23,'Smelter Look-up'!$E:$E,0)))</f>
        <v>Cobalt</v>
      </c>
      <c r="C23" s="154" t="str">
        <f ca="1">IF(LEN(A23)=0,"",INDEX('Smelter Look-up'!$C:$C,MATCH($A23,'Smelter Look-up'!$E:$E,0)))</f>
        <v>Jiangxi Jiangwu Cobalt industrial Co., Ltd.</v>
      </c>
      <c r="D23" s="151"/>
      <c r="E23" s="151" t="str">
        <f ca="1">IF(ISERROR($V23),"",OFFSET('Smelter Look-up'!$D$4,$V23-4,0)&amp;"")</f>
        <v>CHINA</v>
      </c>
      <c r="F23" s="151" t="str">
        <f ca="1">IF(ISERROR($V23),"",OFFSET('Smelter Look-up'!$E$4,$V23-4,0))</f>
        <v>CID003377</v>
      </c>
      <c r="G23" s="151" t="str">
        <f ca="1">IF(C23=$X$4,"Enter smelter details",IF(ISERROR($V23),"",OFFSET('Smelter Look-up'!$F$4,$V23-4,0)))</f>
        <v>RMI</v>
      </c>
      <c r="H23" s="209">
        <f ca="1">IF(ISERROR($V23),"",OFFSET('Smelter Look-up'!$G$4,$V23-4,0))</f>
        <v>0</v>
      </c>
      <c r="I23" s="210" t="str">
        <f ca="1">IF(ISERROR($V23),"",OFFSET('Smelter Look-up'!$H$4,$V23-4,0))</f>
        <v>Ganzhou</v>
      </c>
      <c r="J23" s="210" t="str">
        <f ca="1">IF(ISERROR($V23),"",OFFSET('Smelter Look-up'!$I$4,$V23-4,0))</f>
        <v>Jiangxi Sheng</v>
      </c>
      <c r="K23" s="152"/>
      <c r="L23" s="152"/>
      <c r="M23" s="152"/>
      <c r="N23" s="152"/>
      <c r="O23" s="152"/>
      <c r="P23" s="212"/>
      <c r="Q23" s="153"/>
      <c r="R23" s="151" t="str">
        <f ca="1">IF(ISERROR($V23),"",OFFSET('Smelter Look-up'!$C$4,$V23-4,0)&amp;"")</f>
        <v>Jiangxi Jiangwu Cobalt industrial Co., Ltd.</v>
      </c>
      <c r="S23" s="157" t="str">
        <f t="shared" ca="1" si="0"/>
        <v>Unknown</v>
      </c>
      <c r="T23" s="157" t="str">
        <f ca="1">IF(B23="","",IF(ISERROR(MATCH($J23,SorP!$B$1:$B$5662,0)),"",INDIRECT("'SorP'!$A$"&amp;MATCH($J23,SorP!$B$1:$B$5662,0))))</f>
        <v>CN-JX</v>
      </c>
      <c r="U23" s="170"/>
      <c r="V23" s="171">
        <f ca="1">IF(C23="",NA(),MATCH($B23&amp;$C23,'Smelter Look-up'!$J:$J,0))</f>
        <v>45</v>
      </c>
      <c r="X23" s="172">
        <f t="shared" ca="1" si="1"/>
        <v>0</v>
      </c>
      <c r="AB23" s="172" t="str">
        <f t="shared" ca="1" si="2"/>
        <v>CobaltJiangxi Jiangwu Cobalt industrial Co., Ltd.</v>
      </c>
    </row>
    <row r="24" spans="1:28" s="172" customFormat="1" ht="20">
      <c r="A24" s="157" t="s">
        <v>183</v>
      </c>
      <c r="B24" s="151" t="str">
        <f ca="1">IF(LEN(A24)=0,"",INDEX('Smelter Look-up'!$A:$A,MATCH($A24,'Smelter Look-up'!$E:$E,0)))</f>
        <v>Cobalt</v>
      </c>
      <c r="C24" s="154" t="str">
        <f ca="1">IF(LEN(A24)=0,"",INDEX('Smelter Look-up'!$C:$C,MATCH($A24,'Smelter Look-up'!$E:$E,0)))</f>
        <v>Jingmen GEM Co., Ltd.</v>
      </c>
      <c r="D24" s="151"/>
      <c r="E24" s="151" t="str">
        <f ca="1">IF(ISERROR($V24),"",OFFSET('Smelter Look-up'!$D$4,$V24-4,0)&amp;"")</f>
        <v>CHINA</v>
      </c>
      <c r="F24" s="151" t="str">
        <f ca="1">IF(ISERROR($V24),"",OFFSET('Smelter Look-up'!$E$4,$V24-4,0))</f>
        <v>CID003378</v>
      </c>
      <c r="G24" s="151" t="str">
        <f ca="1">IF(C24=$X$4,"Enter smelter details",IF(ISERROR($V24),"",OFFSET('Smelter Look-up'!$F$4,$V24-4,0)))</f>
        <v>RMI</v>
      </c>
      <c r="H24" s="209">
        <f ca="1">IF(ISERROR($V24),"",OFFSET('Smelter Look-up'!$G$4,$V24-4,0))</f>
        <v>0</v>
      </c>
      <c r="I24" s="210" t="str">
        <f ca="1">IF(ISERROR($V24),"",OFFSET('Smelter Look-up'!$H$4,$V24-4,0))</f>
        <v>Jingmen</v>
      </c>
      <c r="J24" s="210" t="str">
        <f ca="1">IF(ISERROR($V24),"",OFFSET('Smelter Look-up'!$I$4,$V24-4,0))</f>
        <v>Hubei Sheng</v>
      </c>
      <c r="K24" s="152"/>
      <c r="L24" s="152"/>
      <c r="M24" s="152"/>
      <c r="N24" s="152"/>
      <c r="O24" s="152"/>
      <c r="P24" s="212"/>
      <c r="Q24" s="153"/>
      <c r="R24" s="151" t="str">
        <f ca="1">IF(ISERROR($V24),"",OFFSET('Smelter Look-up'!$C$4,$V24-4,0)&amp;"")</f>
        <v>Jingmen GEM Co., Ltd.</v>
      </c>
      <c r="S24" s="157" t="str">
        <f t="shared" ca="1" si="0"/>
        <v>Unknown</v>
      </c>
      <c r="T24" s="157" t="str">
        <f ca="1">IF(B24="","",IF(ISERROR(MATCH($J24,SorP!$B$1:$B$5662,0)),"",INDIRECT("'SorP'!$A$"&amp;MATCH($J24,SorP!$B$1:$B$5662,0))))</f>
        <v>CN-HB</v>
      </c>
      <c r="U24" s="170"/>
      <c r="V24" s="171">
        <f ca="1">IF(C24="",NA(),MATCH($B24&amp;$C24,'Smelter Look-up'!$J:$J,0))</f>
        <v>48</v>
      </c>
      <c r="X24" s="172">
        <f t="shared" ca="1" si="1"/>
        <v>0</v>
      </c>
      <c r="AB24" s="172" t="str">
        <f t="shared" ca="1" si="2"/>
        <v>CobaltJingmen GEM Co., Ltd.</v>
      </c>
    </row>
    <row r="25" spans="1:28" s="172" customFormat="1" ht="20">
      <c r="A25" s="157" t="s">
        <v>118</v>
      </c>
      <c r="B25" s="151" t="str">
        <f ca="1">IF(LEN(A25)=0,"",INDEX('Smelter Look-up'!$A:$A,MATCH($A25,'Smelter Look-up'!$E:$E,0)))</f>
        <v>Cobalt</v>
      </c>
      <c r="C25" s="154" t="str">
        <f ca="1">IF(LEN(A25)=0,"",INDEX('Smelter Look-up'!$C:$C,MATCH($A25,'Smelter Look-up'!$E:$E,0)))</f>
        <v>Ganzhou Highpower Technology Co., Ltd.</v>
      </c>
      <c r="D25" s="151"/>
      <c r="E25" s="151" t="str">
        <f ca="1">IF(ISERROR($V25),"",OFFSET('Smelter Look-up'!$D$4,$V25-4,0)&amp;"")</f>
        <v>CHINA</v>
      </c>
      <c r="F25" s="151" t="str">
        <f ca="1">IF(ISERROR($V25),"",OFFSET('Smelter Look-up'!$E$4,$V25-4,0))</f>
        <v>CID003384</v>
      </c>
      <c r="G25" s="151" t="str">
        <f ca="1">IF(C25=$X$4,"Enter smelter details",IF(ISERROR($V25),"",OFFSET('Smelter Look-up'!$F$4,$V25-4,0)))</f>
        <v>RMI</v>
      </c>
      <c r="H25" s="209">
        <f ca="1">IF(ISERROR($V25),"",OFFSET('Smelter Look-up'!$G$4,$V25-4,0))</f>
        <v>0</v>
      </c>
      <c r="I25" s="210" t="str">
        <f ca="1">IF(ISERROR($V25),"",OFFSET('Smelter Look-up'!$H$4,$V25-4,0))</f>
        <v>Ganzhou</v>
      </c>
      <c r="J25" s="210" t="str">
        <f ca="1">IF(ISERROR($V25),"",OFFSET('Smelter Look-up'!$I$4,$V25-4,0))</f>
        <v>Jiangxi Sheng</v>
      </c>
      <c r="K25" s="152"/>
      <c r="L25" s="152"/>
      <c r="M25" s="152"/>
      <c r="N25" s="152"/>
      <c r="O25" s="152"/>
      <c r="P25" s="212"/>
      <c r="Q25" s="153"/>
      <c r="R25" s="151" t="str">
        <f ca="1">IF(ISERROR($V25),"",OFFSET('Smelter Look-up'!$C$4,$V25-4,0)&amp;"")</f>
        <v>Ganzhou Highpower Technology Co., Ltd.</v>
      </c>
      <c r="S25" s="157" t="str">
        <f t="shared" ca="1" si="0"/>
        <v>Unknown</v>
      </c>
      <c r="T25" s="157" t="str">
        <f ca="1">IF(B25="","",IF(ISERROR(MATCH($J25,SorP!$B$1:$B$5662,0)),"",INDIRECT("'SorP'!$A$"&amp;MATCH($J25,SorP!$B$1:$B$5662,0))))</f>
        <v>CN-JX</v>
      </c>
      <c r="U25" s="170"/>
      <c r="V25" s="171">
        <f ca="1">IF(C25="",NA(),MATCH($B25&amp;$C25,'Smelter Look-up'!$J:$J,0))</f>
        <v>21</v>
      </c>
      <c r="X25" s="172">
        <f t="shared" ca="1" si="1"/>
        <v>0</v>
      </c>
      <c r="AB25" s="172" t="str">
        <f t="shared" ca="1" si="2"/>
        <v>CobaltGanzhou Highpower Technology Co., Ltd.</v>
      </c>
    </row>
    <row r="26" spans="1:28" s="172" customFormat="1" ht="20">
      <c r="A26" s="157" t="s">
        <v>268</v>
      </c>
      <c r="B26" s="151" t="str">
        <f ca="1">IF(LEN(A26)=0,"",INDEX('Smelter Look-up'!$A:$A,MATCH($A26,'Smelter Look-up'!$E:$E,0)))</f>
        <v>Cobalt</v>
      </c>
      <c r="C26" s="154" t="str">
        <f ca="1">IF(LEN(A26)=0,"",INDEX('Smelter Look-up'!$C:$C,MATCH($A26,'Smelter Look-up'!$E:$E,0)))</f>
        <v>NORILSK NICKEL HARJAVALTA OY</v>
      </c>
      <c r="D26" s="151"/>
      <c r="E26" s="151" t="str">
        <f ca="1">IF(ISERROR($V26),"",OFFSET('Smelter Look-up'!$D$4,$V26-4,0)&amp;"")</f>
        <v>FINLAND</v>
      </c>
      <c r="F26" s="151" t="str">
        <f ca="1">IF(ISERROR($V26),"",OFFSET('Smelter Look-up'!$E$4,$V26-4,0))</f>
        <v>CID003390</v>
      </c>
      <c r="G26" s="151" t="str">
        <f ca="1">IF(C26=$X$4,"Enter smelter details",IF(ISERROR($V26),"",OFFSET('Smelter Look-up'!$F$4,$V26-4,0)))</f>
        <v>RMI</v>
      </c>
      <c r="H26" s="209">
        <f ca="1">IF(ISERROR($V26),"",OFFSET('Smelter Look-up'!$G$4,$V26-4,0))</f>
        <v>0</v>
      </c>
      <c r="I26" s="210" t="str">
        <f ca="1">IF(ISERROR($V26),"",OFFSET('Smelter Look-up'!$H$4,$V26-4,0))</f>
        <v>Harvjavalta</v>
      </c>
      <c r="J26" s="210" t="str">
        <f ca="1">IF(ISERROR($V26),"",OFFSET('Smelter Look-up'!$I$4,$V26-4,0))</f>
        <v>Satakunta</v>
      </c>
      <c r="K26" s="152"/>
      <c r="L26" s="152"/>
      <c r="M26" s="152"/>
      <c r="N26" s="152"/>
      <c r="O26" s="152"/>
      <c r="P26" s="212"/>
      <c r="Q26" s="153"/>
      <c r="R26" s="151" t="str">
        <f ca="1">IF(ISERROR($V26),"",OFFSET('Smelter Look-up'!$C$4,$V26-4,0)&amp;"")</f>
        <v>NORILSK NICKEL HARJAVALTA OY</v>
      </c>
      <c r="S26" s="157" t="str">
        <f t="shared" ca="1" si="0"/>
        <v>Unknown</v>
      </c>
      <c r="T26" s="157" t="str">
        <f ca="1">IF(B26="","",IF(ISERROR(MATCH($J26,SorP!$B$1:$B$5662,0)),"",INDIRECT("'SorP'!$A$"&amp;MATCH($J26,SorP!$B$1:$B$5662,0))))</f>
        <v>FI-17</v>
      </c>
      <c r="U26" s="170"/>
      <c r="V26" s="171">
        <f ca="1">IF(C26="",NA(),MATCH($B26&amp;$C26,'Smelter Look-up'!$J:$J,0))</f>
        <v>88</v>
      </c>
      <c r="X26" s="172">
        <f t="shared" ca="1" si="1"/>
        <v>0</v>
      </c>
      <c r="AB26" s="172" t="str">
        <f t="shared" ca="1" si="2"/>
        <v>CobaltNORILSK NICKEL HARJAVALTA OY</v>
      </c>
    </row>
    <row r="27" spans="1:28" s="172" customFormat="1" ht="20">
      <c r="A27" s="157" t="s">
        <v>255</v>
      </c>
      <c r="B27" s="151" t="str">
        <f ca="1">IF(LEN(A27)=0,"",INDEX('Smelter Look-up'!$A:$A,MATCH($A27,'Smelter Look-up'!$E:$E,0)))</f>
        <v>Cobalt</v>
      </c>
      <c r="C27" s="154" t="str">
        <f ca="1">IF(LEN(A27)=0,"",INDEX('Smelter Look-up'!$C:$C,MATCH($A27,'Smelter Look-up'!$E:$E,0)))</f>
        <v>New Era Group Zhejiang Zhongneng Cycle Technology Co., Ltd.</v>
      </c>
      <c r="D27" s="151"/>
      <c r="E27" s="151" t="str">
        <f ca="1">IF(ISERROR($V27),"",OFFSET('Smelter Look-up'!$D$4,$V27-4,0)&amp;"")</f>
        <v>CHINA</v>
      </c>
      <c r="F27" s="151" t="str">
        <f ca="1">IF(ISERROR($V27),"",OFFSET('Smelter Look-up'!$E$4,$V27-4,0))</f>
        <v>CID003398</v>
      </c>
      <c r="G27" s="151" t="str">
        <f ca="1">IF(C27=$X$4,"Enter smelter details",IF(ISERROR($V27),"",OFFSET('Smelter Look-up'!$F$4,$V27-4,0)))</f>
        <v>RMI</v>
      </c>
      <c r="H27" s="209">
        <f ca="1">IF(ISERROR($V27),"",OFFSET('Smelter Look-up'!$G$4,$V27-4,0))</f>
        <v>0</v>
      </c>
      <c r="I27" s="210" t="str">
        <f ca="1">IF(ISERROR($V27),"",OFFSET('Smelter Look-up'!$H$4,$V27-4,0))</f>
        <v>Shaoxing</v>
      </c>
      <c r="J27" s="210" t="str">
        <f ca="1">IF(ISERROR($V27),"",OFFSET('Smelter Look-up'!$I$4,$V27-4,0))</f>
        <v>Zhejiang Sheng</v>
      </c>
      <c r="K27" s="152"/>
      <c r="L27" s="152"/>
      <c r="M27" s="152"/>
      <c r="N27" s="152"/>
      <c r="O27" s="152"/>
      <c r="P27" s="212"/>
      <c r="Q27" s="153"/>
      <c r="R27" s="151" t="str">
        <f ca="1">IF(ISERROR($V27),"",OFFSET('Smelter Look-up'!$C$4,$V27-4,0)&amp;"")</f>
        <v>New Era Group Zhejiang Zhongneng Cycle Technology Co., Ltd.</v>
      </c>
      <c r="S27" s="157" t="str">
        <f t="shared" ca="1" si="0"/>
        <v>Unknown</v>
      </c>
      <c r="T27" s="157" t="str">
        <f ca="1">IF(B27="","",IF(ISERROR(MATCH($J27,SorP!$B$1:$B$5662,0)),"",INDIRECT("'SorP'!$A$"&amp;MATCH($J27,SorP!$B$1:$B$5662,0))))</f>
        <v>CN-ZJ</v>
      </c>
      <c r="U27" s="170"/>
      <c r="V27" s="171">
        <f ca="1">IF(C27="",NA(),MATCH($B27&amp;$C27,'Smelter Look-up'!$J:$J,0))</f>
        <v>81</v>
      </c>
      <c r="X27" s="172">
        <f t="shared" ca="1" si="1"/>
        <v>0</v>
      </c>
      <c r="AB27" s="172" t="str">
        <f t="shared" ca="1" si="2"/>
        <v>CobaltNew Era Group Zhejiang Zhongneng Cycle Technology Co., Ltd.</v>
      </c>
    </row>
    <row r="28" spans="1:28" s="172" customFormat="1" ht="20">
      <c r="A28" s="157" t="s">
        <v>164</v>
      </c>
      <c r="B28" s="151" t="str">
        <f ca="1">IF(LEN(A28)=0,"",INDEX('Smelter Look-up'!$A:$A,MATCH($A28,'Smelter Look-up'!$E:$E,0)))</f>
        <v>Cobalt</v>
      </c>
      <c r="C28" s="154" t="str">
        <f ca="1">IF(LEN(A28)=0,"",INDEX('Smelter Look-up'!$C:$C,MATCH($A28,'Smelter Look-up'!$E:$E,0)))</f>
        <v>Hunan Yacheng New Materials Co., Ltd.</v>
      </c>
      <c r="D28" s="151"/>
      <c r="E28" s="151" t="str">
        <f ca="1">IF(ISERROR($V28),"",OFFSET('Smelter Look-up'!$D$4,$V28-4,0)&amp;"")</f>
        <v>CHINA</v>
      </c>
      <c r="F28" s="151" t="str">
        <f ca="1">IF(ISERROR($V28),"",OFFSET('Smelter Look-up'!$E$4,$V28-4,0))</f>
        <v>CID003404</v>
      </c>
      <c r="G28" s="151" t="str">
        <f ca="1">IF(C28=$X$4,"Enter smelter details",IF(ISERROR($V28),"",OFFSET('Smelter Look-up'!$F$4,$V28-4,0)))</f>
        <v>RMI</v>
      </c>
      <c r="H28" s="209">
        <f ca="1">IF(ISERROR($V28),"",OFFSET('Smelter Look-up'!$G$4,$V28-4,0))</f>
        <v>0</v>
      </c>
      <c r="I28" s="210" t="str">
        <f ca="1">IF(ISERROR($V28),"",OFFSET('Smelter Look-up'!$H$4,$V28-4,0))</f>
        <v>Changsha</v>
      </c>
      <c r="J28" s="210" t="str">
        <f ca="1">IF(ISERROR($V28),"",OFFSET('Smelter Look-up'!$I$4,$V28-4,0))</f>
        <v>Hunan Sheng</v>
      </c>
      <c r="K28" s="152"/>
      <c r="L28" s="152"/>
      <c r="M28" s="152"/>
      <c r="N28" s="152"/>
      <c r="O28" s="152"/>
      <c r="P28" s="212"/>
      <c r="Q28" s="153"/>
      <c r="R28" s="151" t="str">
        <f ca="1">IF(ISERROR($V28),"",OFFSET('Smelter Look-up'!$C$4,$V28-4,0)&amp;"")</f>
        <v>Hunan Yacheng New Materials Co., Ltd.</v>
      </c>
      <c r="S28" s="157" t="str">
        <f t="shared" ca="1" si="0"/>
        <v>Unknown</v>
      </c>
      <c r="T28" s="157" t="str">
        <f ca="1">IF(B28="","",IF(ISERROR(MATCH($J28,SorP!$B$1:$B$5662,0)),"",INDIRECT("'SorP'!$A$"&amp;MATCH($J28,SorP!$B$1:$B$5662,0))))</f>
        <v>CN-HN</v>
      </c>
      <c r="U28" s="170"/>
      <c r="V28" s="171">
        <f ca="1">IF(C28="",NA(),MATCH($B28&amp;$C28,'Smelter Look-up'!$J:$J,0))</f>
        <v>38</v>
      </c>
      <c r="X28" s="172">
        <f t="shared" ca="1" si="1"/>
        <v>0</v>
      </c>
      <c r="AB28" s="172" t="str">
        <f t="shared" ca="1" si="2"/>
        <v>CobaltHunan Yacheng New Materials Co., Ltd.</v>
      </c>
    </row>
    <row r="29" spans="1:28" s="172" customFormat="1" ht="20">
      <c r="A29" s="157" t="s">
        <v>235</v>
      </c>
      <c r="B29" s="151" t="str">
        <f ca="1">IF(LEN(A29)=0,"",INDEX('Smelter Look-up'!$A:$A,MATCH($A29,'Smelter Look-up'!$E:$E,0)))</f>
        <v>Cobalt</v>
      </c>
      <c r="C29" s="154" t="str">
        <f ca="1">IF(LEN(A29)=0,"",INDEX('Smelter Look-up'!$C:$C,MATCH($A29,'Smelter Look-up'!$E:$E,0)))</f>
        <v>Murrin Murrin Nickel Cobalt Plant</v>
      </c>
      <c r="D29" s="151"/>
      <c r="E29" s="151" t="str">
        <f ca="1">IF(ISERROR($V29),"",OFFSET('Smelter Look-up'!$D$4,$V29-4,0)&amp;"")</f>
        <v>AUSTRALIA</v>
      </c>
      <c r="F29" s="151" t="str">
        <f ca="1">IF(ISERROR($V29),"",OFFSET('Smelter Look-up'!$E$4,$V29-4,0))</f>
        <v>CID003406</v>
      </c>
      <c r="G29" s="151" t="str">
        <f ca="1">IF(C29=$X$4,"Enter smelter details",IF(ISERROR($V29),"",OFFSET('Smelter Look-up'!$F$4,$V29-4,0)))</f>
        <v>RMI</v>
      </c>
      <c r="H29" s="209">
        <f ca="1">IF(ISERROR($V29),"",OFFSET('Smelter Look-up'!$G$4,$V29-4,0))</f>
        <v>0</v>
      </c>
      <c r="I29" s="210" t="str">
        <f ca="1">IF(ISERROR($V29),"",OFFSET('Smelter Look-up'!$H$4,$V29-4,0))</f>
        <v>Laverton</v>
      </c>
      <c r="J29" s="210" t="str">
        <f ca="1">IF(ISERROR($V29),"",OFFSET('Smelter Look-up'!$I$4,$V29-4,0))</f>
        <v>Western Australia</v>
      </c>
      <c r="K29" s="152"/>
      <c r="L29" s="152"/>
      <c r="M29" s="152"/>
      <c r="N29" s="152"/>
      <c r="O29" s="152"/>
      <c r="P29" s="212"/>
      <c r="Q29" s="153"/>
      <c r="R29" s="151" t="str">
        <f ca="1">IF(ISERROR($V29),"",OFFSET('Smelter Look-up'!$C$4,$V29-4,0)&amp;"")</f>
        <v>Murrin Murrin Nickel Cobalt Plant</v>
      </c>
      <c r="S29" s="157" t="str">
        <f t="shared" ca="1" si="0"/>
        <v>Unknown</v>
      </c>
      <c r="T29" s="157" t="str">
        <f ca="1">IF(B29="","",IF(ISERROR(MATCH($J29,SorP!$B$1:$B$5662,0)),"",INDIRECT("'SorP'!$A$"&amp;MATCH($J29,SorP!$B$1:$B$5662,0))))</f>
        <v>AU-WA</v>
      </c>
      <c r="U29" s="170"/>
      <c r="V29" s="171">
        <f ca="1">IF(C29="",NA(),MATCH($B29&amp;$C29,'Smelter Look-up'!$J:$J,0))</f>
        <v>75</v>
      </c>
      <c r="X29" s="172">
        <f t="shared" ca="1" si="1"/>
        <v>0</v>
      </c>
      <c r="AB29" s="172" t="str">
        <f t="shared" ca="1" si="2"/>
        <v>CobaltMurrin Murrin Nickel Cobalt Plant</v>
      </c>
    </row>
    <row r="30" spans="1:28" s="172" customFormat="1" ht="20">
      <c r="A30" s="157" t="s">
        <v>156</v>
      </c>
      <c r="B30" s="151" t="str">
        <f ca="1">IF(LEN(A30)=0,"",INDEX('Smelter Look-up'!$A:$A,MATCH($A30,'Smelter Look-up'!$E:$E,0)))</f>
        <v>Cobalt</v>
      </c>
      <c r="C30" s="154" t="str">
        <f ca="1">IF(LEN(A30)=0,"",INDEX('Smelter Look-up'!$C:$C,MATCH($A30,'Smelter Look-up'!$E:$E,0)))</f>
        <v>Hunan CNGR New Energy Science &amp; Technology Co., Ltd.</v>
      </c>
      <c r="D30" s="151"/>
      <c r="E30" s="151" t="str">
        <f ca="1">IF(ISERROR($V30),"",OFFSET('Smelter Look-up'!$D$4,$V30-4,0)&amp;"")</f>
        <v>CHINA</v>
      </c>
      <c r="F30" s="151" t="str">
        <f ca="1">IF(ISERROR($V30),"",OFFSET('Smelter Look-up'!$E$4,$V30-4,0))</f>
        <v>CID003411</v>
      </c>
      <c r="G30" s="151" t="str">
        <f ca="1">IF(C30=$X$4,"Enter smelter details",IF(ISERROR($V30),"",OFFSET('Smelter Look-up'!$F$4,$V30-4,0)))</f>
        <v>RMI</v>
      </c>
      <c r="H30" s="209">
        <f ca="1">IF(ISERROR($V30),"",OFFSET('Smelter Look-up'!$G$4,$V30-4,0))</f>
        <v>0</v>
      </c>
      <c r="I30" s="210" t="str">
        <f ca="1">IF(ISERROR($V30),"",OFFSET('Smelter Look-up'!$H$4,$V30-4,0))</f>
        <v>Changsha</v>
      </c>
      <c r="J30" s="210" t="str">
        <f ca="1">IF(ISERROR($V30),"",OFFSET('Smelter Look-up'!$I$4,$V30-4,0))</f>
        <v>Hunan Sheng</v>
      </c>
      <c r="K30" s="152"/>
      <c r="L30" s="152"/>
      <c r="M30" s="152"/>
      <c r="N30" s="152"/>
      <c r="O30" s="152"/>
      <c r="P30" s="212"/>
      <c r="Q30" s="153"/>
      <c r="R30" s="151" t="str">
        <f ca="1">IF(ISERROR($V30),"",OFFSET('Smelter Look-up'!$C$4,$V30-4,0)&amp;"")</f>
        <v>Hunan CNGR New Energy Science &amp; Technology Co., Ltd.</v>
      </c>
      <c r="S30" s="157" t="str">
        <f t="shared" ca="1" si="0"/>
        <v>Unknown</v>
      </c>
      <c r="T30" s="157" t="str">
        <f ca="1">IF(B30="","",IF(ISERROR(MATCH($J30,SorP!$B$1:$B$5662,0)),"",INDIRECT("'SorP'!$A$"&amp;MATCH($J30,SorP!$B$1:$B$5662,0))))</f>
        <v>CN-HN</v>
      </c>
      <c r="U30" s="170"/>
      <c r="V30" s="171">
        <f ca="1">IF(C30="",NA(),MATCH($B30&amp;$C30,'Smelter Look-up'!$J:$J,0))</f>
        <v>33</v>
      </c>
      <c r="X30" s="172">
        <f t="shared" ca="1" si="1"/>
        <v>0</v>
      </c>
      <c r="AB30" s="172" t="str">
        <f t="shared" ca="1" si="2"/>
        <v>CobaltHunan CNGR New Energy Science &amp; Technology Co., Ltd.</v>
      </c>
    </row>
    <row r="31" spans="1:28" s="172" customFormat="1" ht="20">
      <c r="A31" s="157" t="s">
        <v>90</v>
      </c>
      <c r="B31" s="151" t="str">
        <f ca="1">IF(LEN(A31)=0,"",INDEX('Smelter Look-up'!$A:$A,MATCH($A31,'Smelter Look-up'!$E:$E,0)))</f>
        <v>Cobalt</v>
      </c>
      <c r="C31" s="154" t="str">
        <f ca="1">IF(LEN(A31)=0,"",INDEX('Smelter Look-up'!$C:$C,MATCH($A31,'Smelter Look-up'!$E:$E,0)))</f>
        <v>Cosmo Chemical, Ltd.</v>
      </c>
      <c r="D31" s="151"/>
      <c r="E31" s="151" t="str">
        <f ca="1">IF(ISERROR($V31),"",OFFSET('Smelter Look-up'!$D$4,$V31-4,0)&amp;"")</f>
        <v>KOREA, REPUBLIC OF</v>
      </c>
      <c r="F31" s="151" t="str">
        <f ca="1">IF(ISERROR($V31),"",OFFSET('Smelter Look-up'!$E$4,$V31-4,0))</f>
        <v>CID003415</v>
      </c>
      <c r="G31" s="151" t="str">
        <f ca="1">IF(C31=$X$4,"Enter smelter details",IF(ISERROR($V31),"",OFFSET('Smelter Look-up'!$F$4,$V31-4,0)))</f>
        <v>RMI</v>
      </c>
      <c r="H31" s="209">
        <f ca="1">IF(ISERROR($V31),"",OFFSET('Smelter Look-up'!$G$4,$V31-4,0))</f>
        <v>0</v>
      </c>
      <c r="I31" s="210" t="str">
        <f ca="1">IF(ISERROR($V31),"",OFFSET('Smelter Look-up'!$H$4,$V31-4,0))</f>
        <v>Ulsan</v>
      </c>
      <c r="J31" s="210" t="str">
        <f ca="1">IF(ISERROR($V31),"",OFFSET('Smelter Look-up'!$I$4,$V31-4,0))</f>
        <v>Gyeongsangnam-do</v>
      </c>
      <c r="K31" s="152"/>
      <c r="L31" s="152"/>
      <c r="M31" s="152"/>
      <c r="N31" s="152"/>
      <c r="O31" s="152"/>
      <c r="P31" s="212"/>
      <c r="Q31" s="153"/>
      <c r="R31" s="151" t="str">
        <f ca="1">IF(ISERROR($V31),"",OFFSET('Smelter Look-up'!$C$4,$V31-4,0)&amp;"")</f>
        <v>Cosmo Chemical, Ltd.</v>
      </c>
      <c r="S31" s="157" t="str">
        <f t="shared" ca="1" si="0"/>
        <v>Unknown</v>
      </c>
      <c r="T31" s="157" t="str">
        <f ca="1">IF(B31="","",IF(ISERROR(MATCH($J31,SorP!$B$1:$B$5662,0)),"",INDIRECT("'SorP'!$A$"&amp;MATCH($J31,SorP!$B$1:$B$5662,0))))</f>
        <v>KR-48</v>
      </c>
      <c r="U31" s="170"/>
      <c r="V31" s="171">
        <f ca="1">IF(C31="",NA(),MATCH($B31&amp;$C31,'Smelter Look-up'!$J:$J,0))</f>
        <v>13</v>
      </c>
      <c r="X31" s="172">
        <f t="shared" ca="1" si="1"/>
        <v>0</v>
      </c>
      <c r="AB31" s="172" t="str">
        <f t="shared" ca="1" si="2"/>
        <v>CobaltCosmo Chemical, Ltd.</v>
      </c>
    </row>
    <row r="32" spans="1:28" s="172" customFormat="1" ht="20">
      <c r="A32" s="157" t="s">
        <v>263</v>
      </c>
      <c r="B32" s="151" t="str">
        <f ca="1">IF(LEN(A32)=0,"",INDEX('Smelter Look-up'!$A:$A,MATCH($A32,'Smelter Look-up'!$E:$E,0)))</f>
        <v>Cobalt</v>
      </c>
      <c r="C32" s="154" t="str">
        <f ca="1">IF(LEN(A32)=0,"",INDEX('Smelter Look-up'!$C:$C,MATCH($A32,'Smelter Look-up'!$E:$E,0)))</f>
        <v>Ningbo Hubang New Material Co., Ltd.</v>
      </c>
      <c r="D32" s="151"/>
      <c r="E32" s="151" t="str">
        <f ca="1">IF(ISERROR($V32),"",OFFSET('Smelter Look-up'!$D$4,$V32-4,0)&amp;"")</f>
        <v>CHINA</v>
      </c>
      <c r="F32" s="151" t="str">
        <f ca="1">IF(ISERROR($V32),"",OFFSET('Smelter Look-up'!$E$4,$V32-4,0))</f>
        <v>CID003465</v>
      </c>
      <c r="G32" s="151" t="str">
        <f ca="1">IF(C32=$X$4,"Enter smelter details",IF(ISERROR($V32),"",OFFSET('Smelter Look-up'!$F$4,$V32-4,0)))</f>
        <v>RMI</v>
      </c>
      <c r="H32" s="209">
        <f ca="1">IF(ISERROR($V32),"",OFFSET('Smelter Look-up'!$G$4,$V32-4,0))</f>
        <v>0</v>
      </c>
      <c r="I32" s="210" t="str">
        <f ca="1">IF(ISERROR($V32),"",OFFSET('Smelter Look-up'!$H$4,$V32-4,0))</f>
        <v>Ningbo</v>
      </c>
      <c r="J32" s="210" t="str">
        <f ca="1">IF(ISERROR($V32),"",OFFSET('Smelter Look-up'!$I$4,$V32-4,0))</f>
        <v>Zhejiang Sheng</v>
      </c>
      <c r="K32" s="152"/>
      <c r="L32" s="152"/>
      <c r="M32" s="152"/>
      <c r="N32" s="152"/>
      <c r="O32" s="152"/>
      <c r="P32" s="212"/>
      <c r="Q32" s="153"/>
      <c r="R32" s="151" t="str">
        <f ca="1">IF(ISERROR($V32),"",OFFSET('Smelter Look-up'!$C$4,$V32-4,0)&amp;"")</f>
        <v>Ningbo Hubang New Material Co., Ltd.</v>
      </c>
      <c r="S32" s="157" t="str">
        <f t="shared" ca="1" si="0"/>
        <v>Unknown</v>
      </c>
      <c r="T32" s="157" t="str">
        <f ca="1">IF(B32="","",IF(ISERROR(MATCH($J32,SorP!$B$1:$B$5662,0)),"",INDIRECT("'SorP'!$A$"&amp;MATCH($J32,SorP!$B$1:$B$5662,0))))</f>
        <v>CN-ZJ</v>
      </c>
      <c r="U32" s="170"/>
      <c r="V32" s="171">
        <f ca="1">IF(C32="",NA(),MATCH($B32&amp;$C32,'Smelter Look-up'!$J:$J,0))</f>
        <v>86</v>
      </c>
      <c r="X32" s="172">
        <f t="shared" ca="1" si="1"/>
        <v>0</v>
      </c>
      <c r="AB32" s="172" t="str">
        <f t="shared" ca="1" si="2"/>
        <v>CobaltNingbo Hubang New Material Co., Ltd.</v>
      </c>
    </row>
    <row r="33" spans="1:28" s="172" customFormat="1" ht="20">
      <c r="A33" s="157" t="s">
        <v>85</v>
      </c>
      <c r="B33" s="151" t="str">
        <f ca="1">IF(LEN(A33)=0,"",INDEX('Smelter Look-up'!$A:$A,MATCH($A33,'Smelter Look-up'!$E:$E,0)))</f>
        <v>Cobalt</v>
      </c>
      <c r="C33" s="154" t="str">
        <f ca="1">IF(LEN(A33)=0,"",INDEX('Smelter Look-up'!$C:$C,MATCH($A33,'Smelter Look-up'!$E:$E,0)))</f>
        <v>CoreMax Corporation</v>
      </c>
      <c r="D33" s="151"/>
      <c r="E33" s="151" t="str">
        <f ca="1">IF(ISERROR($V33),"",OFFSET('Smelter Look-up'!$D$4,$V33-4,0)&amp;"")</f>
        <v>TAIWAN, PROVINCE OF CHINA</v>
      </c>
      <c r="F33" s="151" t="str">
        <f ca="1">IF(ISERROR($V33),"",OFFSET('Smelter Look-up'!$E$4,$V33-4,0))</f>
        <v>CID003473</v>
      </c>
      <c r="G33" s="151" t="str">
        <f ca="1">IF(C33=$X$4,"Enter smelter details",IF(ISERROR($V33),"",OFFSET('Smelter Look-up'!$F$4,$V33-4,0)))</f>
        <v>RMI</v>
      </c>
      <c r="H33" s="209">
        <f ca="1">IF(ISERROR($V33),"",OFFSET('Smelter Look-up'!$G$4,$V33-4,0))</f>
        <v>0</v>
      </c>
      <c r="I33" s="210" t="str">
        <f ca="1">IF(ISERROR($V33),"",OFFSET('Smelter Look-up'!$H$4,$V33-4,0))</f>
        <v>Toufen</v>
      </c>
      <c r="J33" s="210" t="str">
        <f ca="1">IF(ISERROR($V33),"",OFFSET('Smelter Look-up'!$I$4,$V33-4,0))</f>
        <v>Miaoli</v>
      </c>
      <c r="K33" s="152"/>
      <c r="L33" s="152"/>
      <c r="M33" s="152"/>
      <c r="N33" s="152"/>
      <c r="O33" s="152"/>
      <c r="P33" s="212"/>
      <c r="Q33" s="153"/>
      <c r="R33" s="151" t="str">
        <f ca="1">IF(ISERROR($V33),"",OFFSET('Smelter Look-up'!$C$4,$V33-4,0)&amp;"")</f>
        <v>CoreMax Corporation</v>
      </c>
      <c r="S33" s="157" t="str">
        <f t="shared" ca="1" si="0"/>
        <v>Unknown</v>
      </c>
      <c r="T33" s="157" t="str">
        <f ca="1">IF(B33="","",IF(ISERROR(MATCH($J33,SorP!$B$1:$B$5662,0)),"",INDIRECT("'SorP'!$A$"&amp;MATCH($J33,SorP!$B$1:$B$5662,0))))</f>
        <v>TW-MIA</v>
      </c>
      <c r="U33" s="170"/>
      <c r="V33" s="171">
        <f ca="1">IF(C33="",NA(),MATCH($B33&amp;$C33,'Smelter Look-up'!$J:$J,0))</f>
        <v>12</v>
      </c>
      <c r="X33" s="172">
        <f t="shared" ca="1" si="1"/>
        <v>0</v>
      </c>
      <c r="AB33" s="172" t="str">
        <f t="shared" ca="1" si="2"/>
        <v>CobaltCoreMax Corporation</v>
      </c>
    </row>
    <row r="34" spans="1:28" s="172" customFormat="1" ht="20">
      <c r="A34" s="157" t="s">
        <v>74</v>
      </c>
      <c r="B34" s="151" t="str">
        <f ca="1">IF(LEN(A34)=0,"",INDEX('Smelter Look-up'!$A:$A,MATCH($A34,'Smelter Look-up'!$E:$E,0)))</f>
        <v>Cobalt</v>
      </c>
      <c r="C34" s="154" t="str">
        <f ca="1">IF(LEN(A34)=0,"",INDEX('Smelter Look-up'!$C:$C,MATCH($A34,'Smelter Look-up'!$E:$E,0)))</f>
        <v>Chizhou CN New Materials and Technology Co., Ltd.</v>
      </c>
      <c r="D34" s="151"/>
      <c r="E34" s="151" t="str">
        <f ca="1">IF(ISERROR($V34),"",OFFSET('Smelter Look-up'!$D$4,$V34-4,0)&amp;"")</f>
        <v>CHINA</v>
      </c>
      <c r="F34" s="151" t="str">
        <f ca="1">IF(ISERROR($V34),"",OFFSET('Smelter Look-up'!$E$4,$V34-4,0))</f>
        <v>CID003481</v>
      </c>
      <c r="G34" s="151" t="str">
        <f ca="1">IF(C34=$X$4,"Enter smelter details",IF(ISERROR($V34),"",OFFSET('Smelter Look-up'!$F$4,$V34-4,0)))</f>
        <v>RMI</v>
      </c>
      <c r="H34" s="209">
        <f ca="1">IF(ISERROR($V34),"",OFFSET('Smelter Look-up'!$G$4,$V34-4,0))</f>
        <v>0</v>
      </c>
      <c r="I34" s="210" t="str">
        <f ca="1">IF(ISERROR($V34),"",OFFSET('Smelter Look-up'!$H$4,$V34-4,0))</f>
        <v>Chizhou</v>
      </c>
      <c r="J34" s="210" t="str">
        <f ca="1">IF(ISERROR($V34),"",OFFSET('Smelter Look-up'!$I$4,$V34-4,0))</f>
        <v>Anhui Sheng</v>
      </c>
      <c r="K34" s="152"/>
      <c r="L34" s="152"/>
      <c r="M34" s="152"/>
      <c r="N34" s="152"/>
      <c r="O34" s="152"/>
      <c r="P34" s="212"/>
      <c r="Q34" s="153"/>
      <c r="R34" s="151" t="str">
        <f ca="1">IF(ISERROR($V34),"",OFFSET('Smelter Look-up'!$C$4,$V34-4,0)&amp;"")</f>
        <v>Chizhou CN New Materials and Technology Co., Ltd.</v>
      </c>
      <c r="S34" s="157" t="str">
        <f t="shared" ca="1" si="0"/>
        <v>Unknown</v>
      </c>
      <c r="T34" s="157" t="str">
        <f ca="1">IF(B34="","",IF(ISERROR(MATCH($J34,SorP!$B$1:$B$5662,0)),"",INDIRECT("'SorP'!$A$"&amp;MATCH($J34,SorP!$B$1:$B$5662,0))))</f>
        <v>CN-AH</v>
      </c>
      <c r="U34" s="170"/>
      <c r="V34" s="171">
        <f ca="1">IF(C34="",NA(),MATCH($B34&amp;$C34,'Smelter Look-up'!$J:$J,0))</f>
        <v>8</v>
      </c>
      <c r="X34" s="172">
        <f t="shared" ca="1" si="1"/>
        <v>0</v>
      </c>
      <c r="AB34" s="172" t="str">
        <f t="shared" ca="1" si="2"/>
        <v>CobaltChizhou CN New Materials and Technology Co., Ltd.</v>
      </c>
    </row>
    <row r="35" spans="1:28" s="172" customFormat="1" ht="20">
      <c r="A35" s="157" t="s">
        <v>328</v>
      </c>
      <c r="B35" s="151" t="str">
        <f ca="1">IF(LEN(A35)=0,"",INDEX('Smelter Look-up'!$A:$A,MATCH($A35,'Smelter Look-up'!$E:$E,0)))</f>
        <v>Cobalt</v>
      </c>
      <c r="C35" s="154" t="str">
        <f ca="1">IF(LEN(A35)=0,"",INDEX('Smelter Look-up'!$C:$C,MATCH($A35,'Smelter Look-up'!$E:$E,0)))</f>
        <v>Zhejiang Greatpower Cobalt Materials Co., Ltd.</v>
      </c>
      <c r="D35" s="151"/>
      <c r="E35" s="151" t="str">
        <f ca="1">IF(ISERROR($V35),"",OFFSET('Smelter Look-up'!$D$4,$V35-4,0)&amp;"")</f>
        <v>CHINA</v>
      </c>
      <c r="F35" s="151" t="str">
        <f ca="1">IF(ISERROR($V35),"",OFFSET('Smelter Look-up'!$E$4,$V35-4,0))</f>
        <v>CID003526</v>
      </c>
      <c r="G35" s="151" t="str">
        <f ca="1">IF(C35=$X$4,"Enter smelter details",IF(ISERROR($V35),"",OFFSET('Smelter Look-up'!$F$4,$V35-4,0)))</f>
        <v>RMI</v>
      </c>
      <c r="H35" s="209">
        <f ca="1">IF(ISERROR($V35),"",OFFSET('Smelter Look-up'!$G$4,$V35-4,0))</f>
        <v>0</v>
      </c>
      <c r="I35" s="210" t="str">
        <f ca="1">IF(ISERROR($V35),"",OFFSET('Smelter Look-up'!$H$4,$V35-4,0))</f>
        <v>Shaoxing</v>
      </c>
      <c r="J35" s="210" t="str">
        <f ca="1">IF(ISERROR($V35),"",OFFSET('Smelter Look-up'!$I$4,$V35-4,0))</f>
        <v>Zhejiang Sheng</v>
      </c>
      <c r="K35" s="152"/>
      <c r="L35" s="152"/>
      <c r="M35" s="152"/>
      <c r="N35" s="152"/>
      <c r="O35" s="152"/>
      <c r="P35" s="212"/>
      <c r="Q35" s="153"/>
      <c r="R35" s="151" t="str">
        <f ca="1">IF(ISERROR($V35),"",OFFSET('Smelter Look-up'!$C$4,$V35-4,0)&amp;"")</f>
        <v>Zhejiang Greatpower Cobalt Materials Co., Ltd.</v>
      </c>
      <c r="S35" s="157" t="str">
        <f t="shared" ca="1" si="0"/>
        <v>Unknown</v>
      </c>
      <c r="T35" s="157" t="str">
        <f ca="1">IF(B35="","",IF(ISERROR(MATCH($J35,SorP!$B$1:$B$5662,0)),"",INDIRECT("'SorP'!$A$"&amp;MATCH($J35,SorP!$B$1:$B$5662,0))))</f>
        <v>CN-ZJ</v>
      </c>
      <c r="U35" s="170"/>
      <c r="V35" s="171">
        <f ca="1">IF(C35="",NA(),MATCH($B35&amp;$C35,'Smelter Look-up'!$J:$J,0))</f>
        <v>116</v>
      </c>
      <c r="X35" s="172">
        <f t="shared" ca="1" si="1"/>
        <v>0</v>
      </c>
      <c r="AB35" s="172" t="str">
        <f t="shared" ca="1" si="2"/>
        <v>CobaltZhejiang Greatpower Cobalt Materials Co., Ltd.</v>
      </c>
    </row>
    <row r="36" spans="1:28" s="172" customFormat="1" ht="20">
      <c r="A36" s="157" t="s">
        <v>227</v>
      </c>
      <c r="B36" s="151" t="str">
        <f ca="1">IF(LEN(A36)=0,"",INDEX('Smelter Look-up'!$A:$A,MATCH($A36,'Smelter Look-up'!$E:$E,0)))</f>
        <v>Cobalt</v>
      </c>
      <c r="C36" s="154" t="str">
        <f ca="1">IF(LEN(A36)=0,"",INDEX('Smelter Look-up'!$C:$C,MATCH($A36,'Smelter Look-up'!$E:$E,0)))</f>
        <v>Mechema Taiwan Plant 2</v>
      </c>
      <c r="D36" s="151"/>
      <c r="E36" s="151" t="str">
        <f ca="1">IF(ISERROR($V36),"",OFFSET('Smelter Look-up'!$D$4,$V36-4,0)&amp;"")</f>
        <v>TAIWAN, PROVINCE OF CHINA</v>
      </c>
      <c r="F36" s="151" t="str">
        <f ca="1">IF(ISERROR($V36),"",OFFSET('Smelter Look-up'!$E$4,$V36-4,0))</f>
        <v>CID003534</v>
      </c>
      <c r="G36" s="151" t="str">
        <f ca="1">IF(C36=$X$4,"Enter smelter details",IF(ISERROR($V36),"",OFFSET('Smelter Look-up'!$F$4,$V36-4,0)))</f>
        <v>RMI</v>
      </c>
      <c r="H36" s="209">
        <f ca="1">IF(ISERROR($V36),"",OFFSET('Smelter Look-up'!$G$4,$V36-4,0))</f>
        <v>0</v>
      </c>
      <c r="I36" s="210" t="str">
        <f ca="1">IF(ISERROR($V36),"",OFFSET('Smelter Look-up'!$H$4,$V36-4,0))</f>
        <v>Taoyuan</v>
      </c>
      <c r="J36" s="210" t="str">
        <f ca="1">IF(ISERROR($V36),"",OFFSET('Smelter Look-up'!$I$4,$V36-4,0))</f>
        <v>Taoyuan</v>
      </c>
      <c r="K36" s="152"/>
      <c r="L36" s="152"/>
      <c r="M36" s="152"/>
      <c r="N36" s="152"/>
      <c r="O36" s="152"/>
      <c r="P36" s="212"/>
      <c r="Q36" s="153"/>
      <c r="R36" s="151" t="str">
        <f ca="1">IF(ISERROR($V36),"",OFFSET('Smelter Look-up'!$C$4,$V36-4,0)&amp;"")</f>
        <v>Mechema Taiwan Plant 2</v>
      </c>
      <c r="S36" s="157" t="str">
        <f t="shared" ca="1" si="0"/>
        <v>Unknown</v>
      </c>
      <c r="T36" s="157" t="str">
        <f ca="1">IF(B36="","",IF(ISERROR(MATCH($J36,SorP!$B$1:$B$5662,0)),"",INDIRECT("'SorP'!$A$"&amp;MATCH($J36,SorP!$B$1:$B$5662,0))))</f>
        <v>TW-TAO</v>
      </c>
      <c r="U36" s="170"/>
      <c r="V36" s="171">
        <f ca="1">IF(C36="",NA(),MATCH($B36&amp;$C36,'Smelter Look-up'!$J:$J,0))</f>
        <v>66</v>
      </c>
      <c r="X36" s="172">
        <f t="shared" ca="1" si="1"/>
        <v>0</v>
      </c>
      <c r="AB36" s="172" t="str">
        <f t="shared" ca="1" si="2"/>
        <v>CobaltMechema Taiwan Plant 2</v>
      </c>
    </row>
    <row r="37" spans="1:28" s="172" customFormat="1" ht="20">
      <c r="A37" s="157" t="s">
        <v>145</v>
      </c>
      <c r="B37" s="151" t="str">
        <f ca="1">IF(LEN(A37)=0,"",INDEX('Smelter Look-up'!$A:$A,MATCH($A37,'Smelter Look-up'!$E:$E,0)))</f>
        <v>Cobalt</v>
      </c>
      <c r="C37" s="154" t="str">
        <f ca="1">IF(LEN(A37)=0,"",INDEX('Smelter Look-up'!$C:$C,MATCH($A37,'Smelter Look-up'!$E:$E,0)))</f>
        <v>Harima Refinery, Sumitomo Metal Mining</v>
      </c>
      <c r="D37" s="151"/>
      <c r="E37" s="151" t="str">
        <f ca="1">IF(ISERROR($V37),"",OFFSET('Smelter Look-up'!$D$4,$V37-4,0)&amp;"")</f>
        <v>JAPAN</v>
      </c>
      <c r="F37" s="151" t="str">
        <f ca="1">IF(ISERROR($V37),"",OFFSET('Smelter Look-up'!$E$4,$V37-4,0))</f>
        <v>CID003577</v>
      </c>
      <c r="G37" s="151" t="str">
        <f ca="1">IF(C37=$X$4,"Enter smelter details",IF(ISERROR($V37),"",OFFSET('Smelter Look-up'!$F$4,$V37-4,0)))</f>
        <v>RMI</v>
      </c>
      <c r="H37" s="209">
        <f ca="1">IF(ISERROR($V37),"",OFFSET('Smelter Look-up'!$G$4,$V37-4,0))</f>
        <v>0</v>
      </c>
      <c r="I37" s="210" t="str">
        <f ca="1">IF(ISERROR($V37),"",OFFSET('Smelter Look-up'!$H$4,$V37-4,0))</f>
        <v>Kako-gun</v>
      </c>
      <c r="J37" s="210" t="str">
        <f ca="1">IF(ISERROR($V37),"",OFFSET('Smelter Look-up'!$I$4,$V37-4,0))</f>
        <v>Hyogo</v>
      </c>
      <c r="K37" s="152"/>
      <c r="L37" s="152"/>
      <c r="M37" s="152"/>
      <c r="N37" s="152"/>
      <c r="O37" s="152"/>
      <c r="P37" s="212"/>
      <c r="Q37" s="153"/>
      <c r="R37" s="151" t="str">
        <f ca="1">IF(ISERROR($V37),"",OFFSET('Smelter Look-up'!$C$4,$V37-4,0)&amp;"")</f>
        <v>Harima Refinery, Sumitomo Metal Mining</v>
      </c>
      <c r="S37" s="157" t="str">
        <f t="shared" ca="1" si="0"/>
        <v>Unknown</v>
      </c>
      <c r="T37" s="157" t="str">
        <f ca="1">IF(B37="","",IF(ISERROR(MATCH($J37,SorP!$B$1:$B$5662,0)),"",INDIRECT("'SorP'!$A$"&amp;MATCH($J37,SorP!$B$1:$B$5662,0))))</f>
        <v>JP-28</v>
      </c>
      <c r="U37" s="170"/>
      <c r="V37" s="171">
        <f ca="1">IF(C37="",NA(),MATCH($B37&amp;$C37,'Smelter Look-up'!$J:$J,0))</f>
        <v>30</v>
      </c>
      <c r="X37" s="172">
        <f t="shared" ca="1" si="1"/>
        <v>0</v>
      </c>
      <c r="AB37" s="172" t="str">
        <f t="shared" ca="1" si="2"/>
        <v>CobaltHarima Refinery, Sumitomo Metal Mining</v>
      </c>
    </row>
    <row r="38" spans="1:28" s="172" customFormat="1" ht="20">
      <c r="A38" s="157" t="s">
        <v>139</v>
      </c>
      <c r="B38" s="151" t="str">
        <f ca="1">IF(LEN(A38)=0,"",INDEX('Smelter Look-up'!$A:$A,MATCH($A38,'Smelter Look-up'!$E:$E,0)))</f>
        <v>Cobalt</v>
      </c>
      <c r="C38" s="154" t="str">
        <f ca="1">IF(LEN(A38)=0,"",INDEX('Smelter Look-up'!$C:$C,MATCH($A38,'Smelter Look-up'!$E:$E,0)))</f>
        <v>Guizhou CNGR Resource Recycling Industry Development Co., Ltd.</v>
      </c>
      <c r="D38" s="151"/>
      <c r="E38" s="151" t="str">
        <f ca="1">IF(ISERROR($V38),"",OFFSET('Smelter Look-up'!$D$4,$V38-4,0)&amp;"")</f>
        <v>CHINA</v>
      </c>
      <c r="F38" s="151" t="str">
        <f ca="1">IF(ISERROR($V38),"",OFFSET('Smelter Look-up'!$E$4,$V38-4,0))</f>
        <v>CID003610</v>
      </c>
      <c r="G38" s="151" t="str">
        <f ca="1">IF(C38=$X$4,"Enter smelter details",IF(ISERROR($V38),"",OFFSET('Smelter Look-up'!$F$4,$V38-4,0)))</f>
        <v>RMI</v>
      </c>
      <c r="H38" s="209">
        <f ca="1">IF(ISERROR($V38),"",OFFSET('Smelter Look-up'!$G$4,$V38-4,0))</f>
        <v>0</v>
      </c>
      <c r="I38" s="210" t="str">
        <f ca="1">IF(ISERROR($V38),"",OFFSET('Smelter Look-up'!$H$4,$V38-4,0))</f>
        <v>Tongren</v>
      </c>
      <c r="J38" s="210" t="str">
        <f ca="1">IF(ISERROR($V38),"",OFFSET('Smelter Look-up'!$I$4,$V38-4,0))</f>
        <v>Guizhou Sheng</v>
      </c>
      <c r="K38" s="152"/>
      <c r="L38" s="152"/>
      <c r="M38" s="152"/>
      <c r="N38" s="152"/>
      <c r="O38" s="152"/>
      <c r="P38" s="212"/>
      <c r="Q38" s="153"/>
      <c r="R38" s="151" t="str">
        <f ca="1">IF(ISERROR($V38),"",OFFSET('Smelter Look-up'!$C$4,$V38-4,0)&amp;"")</f>
        <v>Guizhou CNGR Resource Recycling Industry Development Co., Ltd.</v>
      </c>
      <c r="S38" s="157" t="str">
        <f t="shared" ca="1" si="0"/>
        <v>Unknown</v>
      </c>
      <c r="T38" s="157" t="str">
        <f ca="1">IF(B38="","",IF(ISERROR(MATCH($J38,SorP!$B$1:$B$5662,0)),"",INDIRECT("'SorP'!$A$"&amp;MATCH($J38,SorP!$B$1:$B$5662,0))))</f>
        <v>CN-GZ</v>
      </c>
      <c r="U38" s="170"/>
      <c r="V38" s="171">
        <f ca="1">IF(C38="",NA(),MATCH($B38&amp;$C38,'Smelter Look-up'!$J:$J,0))</f>
        <v>28</v>
      </c>
      <c r="X38" s="172">
        <f t="shared" ca="1" si="1"/>
        <v>0</v>
      </c>
      <c r="AB38" s="172" t="str">
        <f t="shared" ca="1" si="2"/>
        <v>CobaltGuizhou CNGR Resource Recycling Industry Development Co., Ltd.</v>
      </c>
    </row>
    <row r="39" spans="1:28" s="172" customFormat="1" ht="20">
      <c r="A39" s="157" t="s">
        <v>159</v>
      </c>
      <c r="B39" s="151" t="str">
        <f ca="1">IF(LEN(A39)=0,"",INDEX('Smelter Look-up'!$A:$A,MATCH($A39,'Smelter Look-up'!$E:$E,0)))</f>
        <v>Cobalt</v>
      </c>
      <c r="C39" s="154" t="str">
        <f ca="1">IF(LEN(A39)=0,"",INDEX('Smelter Look-up'!$C:$C,MATCH($A39,'Smelter Look-up'!$E:$E,0)))</f>
        <v>Hunan Jinxin New Material Holding Co., Ltd.</v>
      </c>
      <c r="D39" s="151"/>
      <c r="E39" s="151" t="str">
        <f ca="1">IF(ISERROR($V39),"",OFFSET('Smelter Look-up'!$D$4,$V39-4,0)&amp;"")</f>
        <v>CHINA</v>
      </c>
      <c r="F39" s="151" t="str">
        <f ca="1">IF(ISERROR($V39),"",OFFSET('Smelter Look-up'!$E$4,$V39-4,0))</f>
        <v>CID003470</v>
      </c>
      <c r="G39" s="151" t="str">
        <f ca="1">IF(C39=$X$4,"Enter smelter details",IF(ISERROR($V39),"",OFFSET('Smelter Look-up'!$F$4,$V39-4,0)))</f>
        <v>RMI</v>
      </c>
      <c r="H39" s="209">
        <f ca="1">IF(ISERROR($V39),"",OFFSET('Smelter Look-up'!$G$4,$V39-4,0))</f>
        <v>0</v>
      </c>
      <c r="I39" s="210" t="str">
        <f ca="1">IF(ISERROR($V39),"",OFFSET('Smelter Look-up'!$H$4,$V39-4,0))</f>
        <v>Yiyang</v>
      </c>
      <c r="J39" s="210" t="str">
        <f ca="1">IF(ISERROR($V39),"",OFFSET('Smelter Look-up'!$I$4,$V39-4,0))</f>
        <v>Hunan Sheng</v>
      </c>
      <c r="K39" s="152"/>
      <c r="L39" s="152"/>
      <c r="M39" s="152"/>
      <c r="N39" s="152"/>
      <c r="O39" s="152"/>
      <c r="P39" s="212"/>
      <c r="Q39" s="153"/>
      <c r="R39" s="151" t="str">
        <f ca="1">IF(ISERROR($V39),"",OFFSET('Smelter Look-up'!$C$4,$V39-4,0)&amp;"")</f>
        <v>Hunan Jinxin New Material Holding Co., Ltd.</v>
      </c>
      <c r="S39" s="157" t="str">
        <f t="shared" ca="1" si="0"/>
        <v>Unknown</v>
      </c>
      <c r="T39" s="157" t="str">
        <f ca="1">IF(B39="","",IF(ISERROR(MATCH($J39,SorP!$B$1:$B$5662,0)),"",INDIRECT("'SorP'!$A$"&amp;MATCH($J39,SorP!$B$1:$B$5662,0))))</f>
        <v>CN-HN</v>
      </c>
      <c r="U39" s="170"/>
      <c r="V39" s="171">
        <f ca="1">IF(C39="",NA(),MATCH($B39&amp;$C39,'Smelter Look-up'!$J:$J,0))</f>
        <v>35</v>
      </c>
      <c r="X39" s="172">
        <f t="shared" ca="1" si="1"/>
        <v>0</v>
      </c>
      <c r="AB39" s="172" t="str">
        <f t="shared" ca="1" si="2"/>
        <v>CobaltHunan Jinxin New Material Holding Co., Ltd.</v>
      </c>
    </row>
    <row r="40" spans="1:28" s="172" customFormat="1" ht="20">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0.5"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4"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75" priority="29" stopIfTrue="1">
      <formula>IF(B5="",TRUE)</formula>
    </cfRule>
  </conditionalFormatting>
  <conditionalFormatting sqref="D5:D2499">
    <cfRule type="expression" dxfId="74" priority="23" stopIfTrue="1">
      <formula>IF(AND(LEN($C5) &gt;0, ($C5 &lt;&gt; "Smelter Not Listed")),1,0)</formula>
    </cfRule>
    <cfRule type="expression" dxfId="73" priority="48" stopIfTrue="1">
      <formula>IF(AND(D5="",$C5=$X$4),TRUE)</formula>
    </cfRule>
    <cfRule type="expression" dxfId="72" priority="49" stopIfTrue="1">
      <formula>IF(FIND("!",D5),TRUE)</formula>
    </cfRule>
  </conditionalFormatting>
  <conditionalFormatting sqref="G5:G2497">
    <cfRule type="expression" dxfId="71" priority="50" stopIfTrue="1">
      <formula>IF(FIND("Enter smelter details",G5),TRUE)</formula>
    </cfRule>
  </conditionalFormatting>
  <conditionalFormatting sqref="R5:R2499 E5:E2499">
    <cfRule type="expression" dxfId="70" priority="36" stopIfTrue="1">
      <formula>IF(AND(E5="",$C5=$X$4),TRUE)</formula>
    </cfRule>
    <cfRule type="expression" dxfId="69" priority="37" stopIfTrue="1">
      <formula>IF(FIND("!",E5),TRUE)</formula>
    </cfRule>
  </conditionalFormatting>
  <conditionalFormatting sqref="F5:F2497">
    <cfRule type="expression" dxfId="68" priority="27" stopIfTrue="1">
      <formula>IF(AND(LEN($A5)&gt;0,$A5&lt;&gt;$F5),TRUE,FALSE)</formula>
    </cfRule>
  </conditionalFormatting>
  <conditionalFormatting sqref="C5:C2499">
    <cfRule type="expression" dxfId="67" priority="26" stopIfTrue="1">
      <formula>IF(AND(#REF!&lt;&gt;"",C5=""),TRUE)</formula>
    </cfRule>
  </conditionalFormatting>
  <conditionalFormatting sqref="A52">
    <cfRule type="expression" priority="19">
      <formula>$A$5:$Q1995&lt;&gt;""</formula>
    </cfRule>
  </conditionalFormatting>
  <conditionalFormatting sqref="G2498:G2499">
    <cfRule type="expression" dxfId="66" priority="18" stopIfTrue="1">
      <formula>IF(FIND("Enter smelter details",G2498),TRUE)</formula>
    </cfRule>
  </conditionalFormatting>
  <conditionalFormatting sqref="F2498:F2499">
    <cfRule type="expression" dxfId="65" priority="12" stopIfTrue="1">
      <formula>IF(AND(LEN($A2498)&gt;0,$A2498&lt;&gt;$F2498),TRUE,FALSE)</formula>
    </cfRule>
  </conditionalFormatting>
  <conditionalFormatting sqref="B2500">
    <cfRule type="expression" dxfId="64" priority="5" stopIfTrue="1">
      <formula>IF(B2500="",TRUE)</formula>
    </cfRule>
  </conditionalFormatting>
  <conditionalFormatting sqref="D2500">
    <cfRule type="expression" dxfId="63" priority="3" stopIfTrue="1">
      <formula>IF(AND(LEN($C2500) &gt;0, ($C2500 &lt;&gt; "Smelter Not Listed")),1,0)</formula>
    </cfRule>
    <cfRule type="expression" dxfId="62" priority="8" stopIfTrue="1">
      <formula>IF(AND(D2500="",$C2500=$X$4),TRUE)</formula>
    </cfRule>
    <cfRule type="expression" dxfId="61" priority="9" stopIfTrue="1">
      <formula>IF(FIND("!",D2500),TRUE)</formula>
    </cfRule>
  </conditionalFormatting>
  <conditionalFormatting sqref="R2500 E2500">
    <cfRule type="expression" dxfId="60" priority="6" stopIfTrue="1">
      <formula>IF(AND(E2500="",$C2500=$X$4),TRUE)</formula>
    </cfRule>
    <cfRule type="expression" dxfId="59" priority="7" stopIfTrue="1">
      <formula>IF(FIND("!",E2500),TRUE)</formula>
    </cfRule>
  </conditionalFormatting>
  <conditionalFormatting sqref="C2500">
    <cfRule type="expression" dxfId="58" priority="4" stopIfTrue="1">
      <formula>IF(AND(#REF!&lt;&gt;"",C2500=""),TRUE)</formula>
    </cfRule>
  </conditionalFormatting>
  <conditionalFormatting sqref="G2500">
    <cfRule type="expression" dxfId="57" priority="2" stopIfTrue="1">
      <formula>IF(FIND("Enter smelter details",G2500),TRUE)</formula>
    </cfRule>
  </conditionalFormatting>
  <conditionalFormatting sqref="F2500">
    <cfRule type="expression" dxfId="56" priority="1" stopIfTrue="1">
      <formula>IF(AND(LEN($A2500)&gt;0,$A2500&lt;&gt;$F2500),TRUE,FALSE)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hidden="1"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2" width="8.921875" style="16" hidden="1" customWidth="1"/>
    <col min="13" max="13" width="8.921875" style="16" customWidth="1"/>
    <col min="14" max="14" width="31.23046875" style="16" customWidth="1"/>
    <col min="15" max="26" width="8.921875" style="16" customWidth="1"/>
    <col min="27" max="16384" width="8.921875" style="16"/>
  </cols>
  <sheetData>
    <row r="1" spans="1:10" ht="30" customHeight="1">
      <c r="A1" s="387" t="str">
        <f ca="1">OFFSET(L!$C$1,MATCH("Checker"&amp;ADDRESS(ROW(),COLUMN(),4),L!$A:$A,0)-1,SL,,)</f>
        <v>To ensure all required fields have been populated before submitting to your customers review form for any line items highlighted in red</v>
      </c>
      <c r="B1" s="387"/>
      <c r="C1" s="387"/>
      <c r="D1" s="109" t="str">
        <f ca="1">OFFSET(L!$C$1,MATCH("Checker"&amp;ADDRESS(ROW(),COLUMN(),4),L!$A:$A,0)-1,SL,,)</f>
        <v>Required fields remaining to be completed</v>
      </c>
      <c r="E1" s="17" t="s">
        <v>20</v>
      </c>
    </row>
    <row r="2" spans="1:10" ht="15">
      <c r="A2" s="59" t="s">
        <v>52</v>
      </c>
      <c r="B2" s="60" t="str">
        <f>IF(F61=1,"Click here to return to Smelter List","")</f>
        <v>Click here to return to Smelter List</v>
      </c>
      <c r="C2" s="112" t="str">
        <f>IF(F60=1,"Click here to return to Product List","")</f>
        <v/>
      </c>
      <c r="D2" s="135">
        <f ca="1">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41">
      <c r="A4" s="137" t="str">
        <f ca="1">Declaration!B8</f>
        <v>Company Name (*):</v>
      </c>
      <c r="B4" s="80" t="str">
        <f>Declaration!D8</f>
        <v>ASUSTEK COMPUTER INC.</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1">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41">
      <c r="A7" s="137" t="str">
        <f ca="1">Declaration!B15</f>
        <v>Contact Name (*):</v>
      </c>
      <c r="B7" s="80" t="str">
        <f>Declaration!D15</f>
        <v>Jason Chang</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1">
      <c r="A8" s="137" t="str">
        <f ca="1">Declaration!B16</f>
        <v>Email – Contact (*):</v>
      </c>
      <c r="B8" s="80" t="str">
        <f>Declaration!D16</f>
        <v>JC_Chang@asus.com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1">
      <c r="A9" s="137" t="str">
        <f ca="1">Declaration!B17</f>
        <v>Phone – Contact (*):</v>
      </c>
      <c r="B9" s="80" t="str">
        <f>Declaration!D17</f>
        <v>(886) 2 2894 3447 Ext.22619</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1">
      <c r="A10" s="137" t="str">
        <f ca="1">Declaration!B18</f>
        <v>Authorizer (*):</v>
      </c>
      <c r="B10" s="80" t="str">
        <f>Declaration!D18</f>
        <v>Jennie Lin</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Jennie_Lin@asus.com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16</v>
      </c>
      <c r="F12" s="84"/>
      <c r="G12" s="63">
        <f>IF(B12=0,1,0)</f>
        <v>1</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44876</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17</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1">
      <c r="A16" s="81" t="str">
        <f ca="1">Declaration!B27</f>
        <v>Mica</v>
      </c>
      <c r="B16" s="80" t="str">
        <f>Declaration!D27</f>
        <v>Not applicable for this declaration</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40.5">
      <c r="A19" s="80" t="str">
        <f ca="1">Declaration!B31</f>
        <v>2) Does any cobalt or natural mica remain in the product(s)? (*)</v>
      </c>
      <c r="B19" s="83"/>
      <c r="C19" s="83"/>
      <c r="D19" s="87"/>
      <c r="E19" s="17" t="s">
        <v>16</v>
      </c>
      <c r="F19" s="84"/>
      <c r="J19" s="134"/>
    </row>
    <row r="20" spans="1:10" ht="63.65"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Yes</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41"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16</v>
      </c>
      <c r="F27" s="84"/>
      <c r="J27" s="134"/>
    </row>
    <row r="28" spans="1:10" ht="59.4" customHeight="1">
      <c r="A28" s="81" t="str">
        <f ca="1">Declaration!B44</f>
        <v>Cobalt(*)</v>
      </c>
      <c r="B28" s="80" t="str">
        <f>Declaration!D44</f>
        <v>Yes</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41"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40.5">
      <c r="A32" s="80" t="str">
        <f ca="1">Declaration!B49</f>
        <v>5) What percentage of relevant suppliers have provided a response to your supply chain survey?(*)</v>
      </c>
      <c r="B32" s="83"/>
      <c r="C32" s="83"/>
      <c r="D32" s="87"/>
      <c r="E32" s="17" t="s">
        <v>16</v>
      </c>
      <c r="F32" s="84"/>
    </row>
    <row r="33" spans="1:10" ht="27.5">
      <c r="A33" s="81" t="str">
        <f ca="1">Declaration!B50</f>
        <v>Cobalt(*)</v>
      </c>
      <c r="B33" s="80">
        <f>Declaration!D50</f>
        <v>1</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7.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14</v>
      </c>
      <c r="F37" s="84"/>
    </row>
    <row r="38" spans="1:10" ht="54.5">
      <c r="A38" s="81" t="str">
        <f ca="1">Declaration!B56</f>
        <v>Cobalt(*)</v>
      </c>
      <c r="B38" s="80" t="str">
        <f>Declaration!D56</f>
        <v>Yes</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4.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17</v>
      </c>
      <c r="F42" s="84"/>
    </row>
    <row r="43" spans="1:10" ht="41">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7">
      <c r="A47" s="80" t="str">
        <f ca="1">Declaration!B68</f>
        <v>Question</v>
      </c>
      <c r="B47" s="83"/>
      <c r="C47" s="83"/>
      <c r="D47" s="87"/>
      <c r="E47" s="17" t="s">
        <v>20</v>
      </c>
      <c r="F47" s="84"/>
      <c r="G47" s="84"/>
      <c r="H47" s="84"/>
    </row>
    <row r="48" spans="1:10" ht="41">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5"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4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1">
      <c r="A51" s="80" t="s">
        <v>59</v>
      </c>
      <c r="B51" s="80" t="str">
        <f>Declaration!G71</f>
        <v>https://csr.asus.com/english/article.aspx?id=144</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54">
      <c r="A53" s="80" t="str">
        <f ca="1">Declaration!B74</f>
        <v>Cobalt(*)</v>
      </c>
      <c r="B53" s="80" t="str">
        <f>Declaration!D74</f>
        <v>Yes</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54">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1">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1">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41">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41">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41">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41">
      <c r="A61" s="137" t="s">
        <v>61</v>
      </c>
      <c r="B61" s="80"/>
      <c r="C61" s="138" t="str">
        <f ca="1">IF(H61=1,J61,I61)</f>
        <v>Complete</v>
      </c>
      <c r="D61" s="223" t="str">
        <f ca="1">IF(H61=0,"","Click here to provide smelter information")</f>
        <v/>
      </c>
      <c r="E61" s="17" t="s">
        <v>16</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41">
      <c r="A62" s="137" t="s">
        <v>62</v>
      </c>
      <c r="B62" s="80"/>
      <c r="C62" s="138" t="str">
        <f ca="1">IF(H62=1,J62,I62)</f>
        <v>Complete</v>
      </c>
      <c r="D62" s="223" t="str">
        <f ca="1">IF(H62=0,"","Click here to provide smelter information")</f>
        <v/>
      </c>
      <c r="E62" s="17" t="s">
        <v>16</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5" hidden="1" customHeight="1">
      <c r="A63" s="81"/>
      <c r="B63" s="80"/>
      <c r="C63" s="80"/>
      <c r="D63" s="86"/>
      <c r="E63" s="17" t="s">
        <v>16</v>
      </c>
      <c r="F63" s="85">
        <f>F$48</f>
        <v>1</v>
      </c>
      <c r="G63" s="63">
        <f ca="1">IF(COUNTIF('Smelter List'!C5:C9,"")&lt;10,0,1)</f>
        <v>0</v>
      </c>
      <c r="H63" s="64" t="e">
        <f ca="1">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5" hidden="1" customHeight="1">
      <c r="A64" s="81"/>
      <c r="B64" s="80"/>
      <c r="C64" s="80"/>
      <c r="D64" s="86"/>
      <c r="E64" s="17" t="s">
        <v>16</v>
      </c>
      <c r="F64" s="85">
        <f>F$48</f>
        <v>1</v>
      </c>
      <c r="G64" s="63">
        <f ca="1">IF(COUNTIF('Smelter List'!C5:C10,"")&lt;10,0,1)</f>
        <v>0</v>
      </c>
      <c r="H64" s="64" t="e">
        <f ca="1">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7">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 ca="1">SUM(H4:H62)</f>
        <v>1</v>
      </c>
    </row>
    <row r="69" spans="1:12" ht="14"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55" priority="410" stopIfTrue="1">
      <formula>IF(F61=0,TRUE)</formula>
    </cfRule>
  </conditionalFormatting>
  <conditionalFormatting sqref="A5:A13">
    <cfRule type="expression" dxfId="54" priority="118" stopIfTrue="1">
      <formula>$F5=0</formula>
    </cfRule>
    <cfRule type="expression" dxfId="53" priority="119" stopIfTrue="1">
      <formula>AND($F5=1,$G5=0)</formula>
    </cfRule>
    <cfRule type="expression" dxfId="52" priority="120" stopIfTrue="1">
      <formula>AND($F5&lt;&gt;0,$G5&lt;&gt;0)</formula>
    </cfRule>
  </conditionalFormatting>
  <conditionalFormatting sqref="B60">
    <cfRule type="expression" dxfId="51" priority="116" stopIfTrue="1">
      <formula>$F60=0</formula>
    </cfRule>
  </conditionalFormatting>
  <conditionalFormatting sqref="D49">
    <cfRule type="expression" dxfId="50" priority="427" stopIfTrue="1">
      <formula>$H$49=0</formula>
    </cfRule>
  </conditionalFormatting>
  <conditionalFormatting sqref="B62">
    <cfRule type="expression" dxfId="49" priority="108" stopIfTrue="1">
      <formula>IF(F62=0,TRUE)</formula>
    </cfRule>
  </conditionalFormatting>
  <conditionalFormatting sqref="B63">
    <cfRule type="expression" dxfId="48" priority="104" stopIfTrue="1">
      <formula>IF(F63=0,TRUE)</formula>
    </cfRule>
  </conditionalFormatting>
  <conditionalFormatting sqref="B64:B65">
    <cfRule type="expression" dxfId="47" priority="100" stopIfTrue="1">
      <formula>IF(F64=0,TRUE)</formula>
    </cfRule>
  </conditionalFormatting>
  <conditionalFormatting sqref="A61">
    <cfRule type="expression" dxfId="46" priority="2" stopIfTrue="1">
      <formula>OR(C61="Complete",C61="填写", C61="記入",C61="완료",C61="Complétez",C61="Concluído",C61="Vollständig",C61="Completare",C61="Doldurun")</formula>
    </cfRule>
  </conditionalFormatting>
  <conditionalFormatting sqref="C65 A65">
    <cfRule type="expression" dxfId="45" priority="80" stopIfTrue="1">
      <formula>IF(AND($F$65=1,$G$65=1),TRUE,FALSE)</formula>
    </cfRule>
  </conditionalFormatting>
  <conditionalFormatting sqref="C43">
    <cfRule type="expression" dxfId="44" priority="3" stopIfTrue="1">
      <formula>OR(C43="Complete",C43="填写", C43="記入済",C43="완료",C43="Complétez",C43="Concluído",C43="Vollständig",C43="Completare",C43="Doldurun")</formula>
    </cfRule>
  </conditionalFormatting>
  <conditionalFormatting sqref="C38">
    <cfRule type="expression" dxfId="43" priority="4" stopIfTrue="1">
      <formula>OR(C38="Complete",C38="填写", C38="記入済",C38="완료",C38="Complétez",C38="Concluído",C38="Vollständig",C38="Completare",C38="Doldurun")</formula>
    </cfRule>
  </conditionalFormatting>
  <conditionalFormatting sqref="C33">
    <cfRule type="expression" dxfId="42"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41" priority="1" stopIfTrue="1">
      <formula>OR($B$15="No",$B$15="Unknown",$B$15="Not applicable for this declaration",$B$20="No",$B$20="Unknown",$B$20="Not applicable for this declaration")</formula>
    </cfRule>
  </conditionalFormatting>
  <conditionalFormatting sqref="A62">
    <cfRule type="expression" dxfId="40" priority="91" stopIfTrue="1">
      <formula>OR(C62="Complete",C62="填写", C62="記入",C62="완료",C62="Complétez",C62="Concluído",C62="Vollständig",C62="Completare",C62="Doldurun")</formula>
    </cfRule>
  </conditionalFormatting>
  <conditionalFormatting sqref="C61">
    <cfRule type="expression" dxfId="39" priority="56" stopIfTrue="1">
      <formula>OR(C61="Complete",C61="填写", C61="記入済",C61="완료",C61="Complétez",C61="Concluído",C61="Vollständig",C61="Completare",C61="Doldurun")</formula>
    </cfRule>
  </conditionalFormatting>
  <conditionalFormatting sqref="C53:C54">
    <cfRule type="expression" dxfId="38" priority="46" stopIfTrue="1">
      <formula>OR(C53="Complete",C53="填写", C53="記入済",C53="완료",C53="Complétez",C53="Concluído",C53="Vollständig",C53="Completare",C53="Doldurun")</formula>
    </cfRule>
  </conditionalFormatting>
  <conditionalFormatting sqref="C56">
    <cfRule type="expression" dxfId="37" priority="44" stopIfTrue="1">
      <formula>OR(C56="Complete",C56="填写", C56="記入済",C56="완료",C56="Complétez",C56="Concluído",C56="Vollständig",C56="Completare",C56="Doldurun")</formula>
    </cfRule>
  </conditionalFormatting>
  <conditionalFormatting sqref="C58">
    <cfRule type="expression" dxfId="36" priority="41" stopIfTrue="1">
      <formula>OR(C58="Complete",C58="填写", C58="記入済",C58="완료",C58="Complétez",C58="Concluído",C58="Vollständig",C58="Completare",C58="Doldurun")</formula>
    </cfRule>
  </conditionalFormatting>
  <conditionalFormatting sqref="C48">
    <cfRule type="expression" dxfId="35" priority="39" stopIfTrue="1">
      <formula>OR(C48="Complete",C48="填写", C48="記入済",C48="완료",C48="Complétez",C48="Concluído",C48="Vollständig",C48="Completare",C48="Doldurun")</formula>
    </cfRule>
  </conditionalFormatting>
  <conditionalFormatting sqref="C50">
    <cfRule type="expression" dxfId="34" priority="90" stopIfTrue="1">
      <formula>OR(C50="Complete",C50="填写", C50="記入済",C50="완료",C50="Complétez",C50="Concluído",C50="Vollständig",C50="Completare",C50="Doldurun")</formula>
    </cfRule>
  </conditionalFormatting>
  <conditionalFormatting sqref="C55">
    <cfRule type="expression" dxfId="33" priority="35" stopIfTrue="1">
      <formula>OR(C55="Complete",C55="填写", C55="記入済",C55="완료",C55="Complétez",C55="Concluído",C55="Vollständig",C55="Completare",C55="Doldurun")</formula>
    </cfRule>
  </conditionalFormatting>
  <conditionalFormatting sqref="C59">
    <cfRule type="expression" dxfId="32" priority="32" stopIfTrue="1">
      <formula>OR(C59="Complete",C59="填写", C59="記入済",C59="완료",C59="Complétez",C59="Concluído",C59="Vollständig",C59="Completare",C59="Doldurun")</formula>
    </cfRule>
  </conditionalFormatting>
  <conditionalFormatting sqref="C62">
    <cfRule type="expression" dxfId="31" priority="18" stopIfTrue="1">
      <formula>OR(C62="Complete",C62="填写", C62="記入済",C62="완료",C62="Complétez",C62="Concluído",C62="Vollständig",C62="Completare",C62="Doldurun")</formula>
    </cfRule>
  </conditionalFormatting>
  <conditionalFormatting sqref="C51">
    <cfRule type="expression" dxfId="30" priority="14" stopIfTrue="1">
      <formula>$F51=0</formula>
    </cfRule>
    <cfRule type="expression" dxfId="29" priority="15" stopIfTrue="1">
      <formula>$H51=0</formula>
    </cfRule>
    <cfRule type="expression" dxfId="28" priority="16" stopIfTrue="1">
      <formula>$H51=1</formula>
    </cfRule>
  </conditionalFormatting>
  <conditionalFormatting sqref="C20">
    <cfRule type="expression" dxfId="27" priority="13" stopIfTrue="1">
      <formula>OR($B15="No",$B15="Unknown",B$15="Not applicable for this declaration")</formula>
    </cfRule>
    <cfRule type="expression" dxfId="26" priority="20" stopIfTrue="1">
      <formula>OR(C20="Complete",C20="填写", C20="記入済",C20="완료",C20="Complétez",C20="Concluído",C20="Vollständig",C20="Completare",C20="Doldurun")</formula>
    </cfRule>
  </conditionalFormatting>
  <conditionalFormatting sqref="C21">
    <cfRule type="expression" dxfId="25" priority="12" stopIfTrue="1">
      <formula>OR($B16="No",$B16="Unknown",B$16="Not applicable for this declaration")</formula>
    </cfRule>
    <cfRule type="expression" dxfId="24" priority="21" stopIfTrue="1">
      <formula>OR(C21="Complete",C21="填写", C21="記入済",C21="완료",C21="Complétez",C21="Concluído",C21="Vollständig",C21="Completare",C21="Doldurun")</formula>
    </cfRule>
  </conditionalFormatting>
  <conditionalFormatting sqref="A21">
    <cfRule type="expression" dxfId="23" priority="22" stopIfTrue="1">
      <formula>$F21=0</formula>
    </cfRule>
    <cfRule type="expression" dxfId="22" priority="23" stopIfTrue="1">
      <formula>$H21=0</formula>
    </cfRule>
    <cfRule type="expression" dxfId="21" priority="24" stopIfTrue="1">
      <formula>$H21=1</formula>
    </cfRule>
  </conditionalFormatting>
  <conditionalFormatting sqref="A20">
    <cfRule type="expression" dxfId="20" priority="9" stopIfTrue="1">
      <formula>$F20=0</formula>
    </cfRule>
    <cfRule type="expression" dxfId="19" priority="10" stopIfTrue="1">
      <formula>$H20=0</formula>
    </cfRule>
    <cfRule type="expression" dxfId="18" priority="11" stopIfTrue="1">
      <formula>$H20=1</formula>
    </cfRule>
  </conditionalFormatting>
  <conditionalFormatting sqref="C23">
    <cfRule type="expression" dxfId="17" priority="64" stopIfTrue="1">
      <formula>OR(C23="Complete",C23="填写", C23="記入済",C23="완료",C23="Complétez",C23="Concluído",C23="Vollständig",C23="Completare",C23="Doldurun")</formula>
    </cfRule>
  </conditionalFormatting>
  <conditionalFormatting sqref="C24">
    <cfRule type="expression" dxfId="16" priority="66" stopIfTrue="1">
      <formula>OR(C24="Complete",C24="填写", C24="記入済",C24="완료",C24="Complétez",C24="Concluído",C24="Vollständig",C24="Completare",C24="Doldurun")</formula>
    </cfRule>
  </conditionalFormatting>
  <conditionalFormatting sqref="C28">
    <cfRule type="expression" dxfId="15" priority="67" stopIfTrue="1">
      <formula>OR(C28="Complete",C28="填写", C28="記入済",C28="완료",C28="Complétez",C28="Concluído",C28="Vollständig",C28="Completare",C28="Doldurun")</formula>
    </cfRule>
  </conditionalFormatting>
  <conditionalFormatting sqref="C24 C34 C39 C44">
    <cfRule type="expression" dxfId="14" priority="8" stopIfTrue="1">
      <formula>OR($B$16="No",$B$16="Unknown",$B$16="Not applicable for reporting",$B$21="No",$B$21="Unknown",$B$21="Not applicable for reporting")</formula>
    </cfRule>
  </conditionalFormatting>
  <conditionalFormatting sqref="C34">
    <cfRule type="expression" dxfId="13" priority="69" stopIfTrue="1">
      <formula>OR(C34="Complete",C34="填写", C34="記入済",C34="완료",C34="Complétez",C34="Concluído",C34="Vollständig",C34="Completare",C34="Doldurun")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4">
    <cfRule type="expression" dxfId="11"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10" priority="416" stopIfTrue="1">
      <formula>$F4=0</formula>
    </cfRule>
    <cfRule type="expression" dxfId="9" priority="417" stopIfTrue="1">
      <formula>$H4=0</formula>
    </cfRule>
    <cfRule type="expression" dxfId="8" priority="418" stopIfTrue="1">
      <formula>$H4=1</formula>
    </cfRule>
  </conditionalFormatting>
  <hyperlinks>
    <hyperlink ref="D58" location="Declaration!B81" display="Declaration!B81"/>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3" display="Declaration!B83"/>
    <hyperlink ref="D56" location="Declaration!B79" display="Declaration!B79"/>
    <hyperlink ref="D55" location="Declaration!B77" display="Declaration!B77"/>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389" t="str">
        <f ca="1">OFFSET(L!$C$1,MATCH("Product List"&amp;ADDRESS(ROW(),COLUMN(),4),L!$A:$A,0)-1,SL,,)</f>
        <v>Completion required only if reporting level "Product (or List of Products)" selected on the 'Declaration' worksheet.</v>
      </c>
      <c r="B1" s="390"/>
      <c r="C1" s="390"/>
      <c r="D1" s="390"/>
      <c r="E1" s="108"/>
    </row>
    <row r="2" spans="1:35">
      <c r="A2" s="20"/>
      <c r="B2" s="110"/>
      <c r="C2" s="110"/>
      <c r="D2"/>
      <c r="E2" s="21"/>
    </row>
    <row r="3" spans="1:35">
      <c r="A3" s="20"/>
      <c r="B3" s="110"/>
      <c r="C3" s="110"/>
      <c r="D3" s="110"/>
      <c r="E3" s="21"/>
    </row>
    <row r="4" spans="1:35" ht="15.75" customHeight="1">
      <c r="A4" s="20"/>
      <c r="B4" s="388" t="s">
        <v>52</v>
      </c>
      <c r="C4" s="388"/>
      <c r="D4" s="388"/>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1" t="str">
        <f ca="1">OFFSET(L!$C$1,MATCH("General"&amp;"Cpy",L!$A:$A,0)-1,SL,,)</f>
        <v>© 2022 Responsible Minerals Initiative. All rights reserved.</v>
      </c>
      <c r="C1001" s="391"/>
      <c r="D1001" s="391"/>
      <c r="E1001" s="22"/>
    </row>
    <row r="1002" spans="1:35" ht="14"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8" bestFit="1" customWidth="1"/>
    <col min="2" max="2" width="42.921875" style="158" customWidth="1"/>
    <col min="3" max="3" width="40.07421875" style="158" customWidth="1"/>
    <col min="4" max="4" width="22.921875" style="158" customWidth="1"/>
    <col min="5" max="5" width="12.69140625" style="158" customWidth="1"/>
    <col min="6" max="6" width="12.69140625" style="159" customWidth="1"/>
    <col min="7" max="7" width="15.23046875" style="158" customWidth="1"/>
    <col min="8" max="8" width="23.921875" style="158" customWidth="1"/>
    <col min="9" max="9" width="28.07421875" style="158" customWidth="1"/>
    <col min="10" max="10" width="38.69140625" style="158" hidden="1" customWidth="1"/>
    <col min="11" max="11" width="24.07421875" style="158" hidden="1" customWidth="1"/>
    <col min="12" max="12" width="17.4609375" style="158" customWidth="1"/>
    <col min="13" max="13" width="16.07421875" style="158" customWidth="1"/>
    <col min="14" max="16384" width="8.921875" style="158"/>
  </cols>
  <sheetData>
    <row r="1" spans="1:13" ht="180"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3">
      <c r="A2" s="393"/>
      <c r="B2" s="393"/>
      <c r="C2" s="393"/>
      <c r="D2" s="393"/>
      <c r="E2" s="393"/>
      <c r="F2" s="393"/>
      <c r="G2" s="393"/>
      <c r="H2" s="393"/>
      <c r="I2" s="393"/>
    </row>
    <row r="3" spans="1:13">
      <c r="A3" s="393"/>
      <c r="B3" s="393"/>
      <c r="C3" s="393"/>
      <c r="D3" s="393"/>
      <c r="E3" s="393"/>
      <c r="F3" s="393"/>
      <c r="G3" s="393"/>
      <c r="H3" s="393"/>
      <c r="I3" s="393"/>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3"/>
  <sheetViews>
    <sheetView zoomScale="70" zoomScaleNormal="70" workbookViewId="0">
      <selection activeCell="A2" sqref="A2"/>
    </sheetView>
  </sheetViews>
  <sheetFormatPr defaultColWidth="8.69140625" defaultRowHeight="14"/>
  <cols>
    <col min="1" max="1" width="14.69140625" style="128" customWidth="1"/>
    <col min="2" max="2" width="14" style="128" customWidth="1"/>
    <col min="3" max="3" width="6.07421875" style="128" customWidth="1"/>
    <col min="4" max="4" width="50.921875" style="128" customWidth="1"/>
    <col min="5" max="5" width="45.921875" style="246" customWidth="1"/>
    <col min="6" max="6" width="61.61328125" style="247" customWidth="1"/>
    <col min="7" max="7" width="61.61328125" style="128" customWidth="1"/>
    <col min="8" max="8" width="65.61328125" style="145" customWidth="1"/>
    <col min="9" max="16384" width="8.69140625" style="190"/>
  </cols>
  <sheetData>
    <row r="1" spans="1:8">
      <c r="B1" s="128" t="s">
        <v>386</v>
      </c>
      <c r="C1" s="128" t="s">
        <v>387</v>
      </c>
      <c r="D1" s="128" t="s">
        <v>19</v>
      </c>
      <c r="E1" s="246" t="s">
        <v>388</v>
      </c>
      <c r="F1" s="247" t="s">
        <v>389</v>
      </c>
      <c r="G1" s="128" t="s">
        <v>390</v>
      </c>
      <c r="H1" s="298" t="s">
        <v>391</v>
      </c>
    </row>
    <row r="2" spans="1:8" ht="27.5">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0.5">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0.5">
      <c r="A9" s="128" t="str">
        <f t="shared" si="0"/>
        <v>InstructionsA9</v>
      </c>
      <c r="B9" s="128" t="s">
        <v>392</v>
      </c>
      <c r="C9" s="128" t="s">
        <v>432</v>
      </c>
      <c r="D9" s="128" t="s">
        <v>433</v>
      </c>
      <c r="E9" s="246" t="s">
        <v>434</v>
      </c>
      <c r="F9" s="247" t="s">
        <v>435</v>
      </c>
      <c r="G9" s="128" t="s">
        <v>436</v>
      </c>
      <c r="H9" s="298" t="s">
        <v>437</v>
      </c>
    </row>
    <row r="10" spans="1:8" ht="28">
      <c r="A10" s="128" t="str">
        <f>B10&amp;C10</f>
        <v>InstructionsA10</v>
      </c>
      <c r="B10" s="128" t="s">
        <v>392</v>
      </c>
      <c r="C10" s="128" t="s">
        <v>438</v>
      </c>
      <c r="D10" s="128" t="s">
        <v>439</v>
      </c>
      <c r="E10" s="246" t="s">
        <v>440</v>
      </c>
      <c r="F10" s="247" t="s">
        <v>441</v>
      </c>
      <c r="G10" s="128" t="s">
        <v>442</v>
      </c>
      <c r="H10" s="298" t="s">
        <v>443</v>
      </c>
    </row>
    <row r="11" spans="1:8" ht="29">
      <c r="A11" s="128" t="str">
        <f t="shared" si="0"/>
        <v>InstructionsA11</v>
      </c>
      <c r="B11" s="128" t="s">
        <v>392</v>
      </c>
      <c r="C11" s="128" t="s">
        <v>444</v>
      </c>
      <c r="D11" s="128" t="s">
        <v>445</v>
      </c>
      <c r="E11" s="224" t="s">
        <v>446</v>
      </c>
      <c r="F11" s="249" t="s">
        <v>447</v>
      </c>
      <c r="G11" s="128" t="s">
        <v>448</v>
      </c>
      <c r="H11" s="298" t="s">
        <v>449</v>
      </c>
    </row>
    <row r="12" spans="1:8" ht="40.5">
      <c r="A12" s="128" t="str">
        <f t="shared" si="0"/>
        <v>InstructionsA12</v>
      </c>
      <c r="B12" s="128" t="s">
        <v>392</v>
      </c>
      <c r="C12" s="128" t="s">
        <v>450</v>
      </c>
      <c r="D12" s="128" t="s">
        <v>451</v>
      </c>
      <c r="E12" s="246" t="s">
        <v>452</v>
      </c>
      <c r="F12" s="247" t="s">
        <v>453</v>
      </c>
      <c r="G12" s="128" t="s">
        <v>454</v>
      </c>
      <c r="H12" s="298" t="s">
        <v>455</v>
      </c>
    </row>
    <row r="13" spans="1:8" ht="58">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1">
      <c r="A15" s="128" t="str">
        <f t="shared" si="0"/>
        <v>InstructionsA15</v>
      </c>
      <c r="B15" s="128" t="s">
        <v>392</v>
      </c>
      <c r="C15" s="128" t="s">
        <v>468</v>
      </c>
      <c r="D15" s="128" t="s">
        <v>469</v>
      </c>
      <c r="E15" s="246" t="s">
        <v>470</v>
      </c>
      <c r="F15" s="247" t="s">
        <v>471</v>
      </c>
      <c r="G15" s="128" t="s">
        <v>472</v>
      </c>
      <c r="H15" s="298" t="s">
        <v>473</v>
      </c>
    </row>
    <row r="16" spans="1:8" ht="27">
      <c r="A16" s="128" t="str">
        <f t="shared" si="0"/>
        <v>InstructionsA16</v>
      </c>
      <c r="B16" s="128" t="s">
        <v>392</v>
      </c>
      <c r="C16" s="128" t="s">
        <v>474</v>
      </c>
      <c r="D16" s="128" t="s">
        <v>475</v>
      </c>
      <c r="E16" s="224" t="s">
        <v>476</v>
      </c>
      <c r="F16" s="249" t="s">
        <v>477</v>
      </c>
      <c r="G16" s="128" t="s">
        <v>478</v>
      </c>
      <c r="H16" s="298" t="s">
        <v>479</v>
      </c>
    </row>
    <row r="17" spans="1:8" ht="54">
      <c r="A17" s="128" t="str">
        <f t="shared" si="0"/>
        <v>InstructionsA17</v>
      </c>
      <c r="B17" s="128" t="s">
        <v>392</v>
      </c>
      <c r="C17" s="128" t="s">
        <v>480</v>
      </c>
      <c r="D17" s="128" t="s">
        <v>481</v>
      </c>
      <c r="E17" s="246" t="s">
        <v>482</v>
      </c>
      <c r="F17" s="247" t="s">
        <v>483</v>
      </c>
      <c r="G17" s="128" t="s">
        <v>484</v>
      </c>
      <c r="H17" s="298" t="s">
        <v>485</v>
      </c>
    </row>
    <row r="18" spans="1:8" ht="27">
      <c r="A18" s="128" t="str">
        <f>B18&amp;C18</f>
        <v>InstructionsA18</v>
      </c>
      <c r="B18" s="128" t="s">
        <v>392</v>
      </c>
      <c r="C18" s="128" t="s">
        <v>486</v>
      </c>
      <c r="D18" s="128" t="s">
        <v>487</v>
      </c>
      <c r="E18" s="128" t="s">
        <v>488</v>
      </c>
      <c r="F18" s="249" t="s">
        <v>489</v>
      </c>
      <c r="G18" s="128" t="s">
        <v>490</v>
      </c>
      <c r="H18" s="298" t="s">
        <v>491</v>
      </c>
    </row>
    <row r="19" spans="1:8" ht="34">
      <c r="A19" s="128" t="str">
        <f t="shared" si="0"/>
        <v>InstructionsA19</v>
      </c>
      <c r="B19" s="128" t="s">
        <v>392</v>
      </c>
      <c r="C19" s="128" t="s">
        <v>492</v>
      </c>
      <c r="D19" s="128" t="s">
        <v>493</v>
      </c>
      <c r="E19" s="246" t="s">
        <v>494</v>
      </c>
      <c r="F19" s="247" t="s">
        <v>495</v>
      </c>
      <c r="G19" s="128" t="s">
        <v>496</v>
      </c>
      <c r="H19" s="301" t="s">
        <v>497</v>
      </c>
    </row>
    <row r="20" spans="1:8" ht="2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05">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81">
      <c r="A24" s="128" t="str">
        <f t="shared" si="0"/>
        <v>InstructionsA25</v>
      </c>
      <c r="B24" s="128" t="s">
        <v>392</v>
      </c>
      <c r="C24" s="128" t="s">
        <v>522</v>
      </c>
      <c r="D24" s="128" t="s">
        <v>523</v>
      </c>
      <c r="E24" s="246" t="s">
        <v>524</v>
      </c>
      <c r="F24" s="292" t="s">
        <v>525</v>
      </c>
      <c r="G24" s="128" t="s">
        <v>526</v>
      </c>
      <c r="H24" s="298" t="s">
        <v>527</v>
      </c>
    </row>
    <row r="25" spans="1:8" ht="216">
      <c r="A25" s="128" t="str">
        <f t="shared" si="0"/>
        <v>InstructionsA26</v>
      </c>
      <c r="B25" s="128" t="s">
        <v>392</v>
      </c>
      <c r="C25" s="128" t="s">
        <v>528</v>
      </c>
      <c r="D25" s="128" t="s">
        <v>529</v>
      </c>
      <c r="E25" s="250" t="s">
        <v>530</v>
      </c>
      <c r="F25" s="292" t="s">
        <v>531</v>
      </c>
      <c r="G25" s="128" t="s">
        <v>532</v>
      </c>
      <c r="H25" s="298" t="s">
        <v>533</v>
      </c>
    </row>
    <row r="26" spans="1:8" ht="28">
      <c r="A26" s="128" t="str">
        <f t="shared" si="0"/>
        <v>InstructionsA27</v>
      </c>
      <c r="B26" s="128" t="s">
        <v>392</v>
      </c>
      <c r="C26" s="128" t="s">
        <v>534</v>
      </c>
      <c r="D26" s="128" t="s">
        <v>535</v>
      </c>
      <c r="E26" s="246" t="s">
        <v>536</v>
      </c>
      <c r="F26" s="247" t="s">
        <v>537</v>
      </c>
      <c r="G26" s="128" t="s">
        <v>538</v>
      </c>
      <c r="H26" s="298" t="s">
        <v>539</v>
      </c>
    </row>
    <row r="27" spans="1:8" ht="351">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29.5">
      <c r="A29" s="128" t="str">
        <f t="shared" si="1"/>
        <v>InstructionsA30</v>
      </c>
      <c r="B29" s="128" t="s">
        <v>392</v>
      </c>
      <c r="C29" s="128" t="s">
        <v>552</v>
      </c>
      <c r="D29" s="128" t="s">
        <v>553</v>
      </c>
      <c r="E29" s="250" t="s">
        <v>554</v>
      </c>
      <c r="F29" s="247" t="s">
        <v>555</v>
      </c>
      <c r="G29" s="128" t="s">
        <v>556</v>
      </c>
      <c r="H29" s="298" t="s">
        <v>557</v>
      </c>
    </row>
    <row r="30" spans="1:8" ht="202.5">
      <c r="A30" s="128" t="str">
        <f t="shared" si="1"/>
        <v>InstructionsA31</v>
      </c>
      <c r="B30" s="128" t="s">
        <v>392</v>
      </c>
      <c r="C30" s="128" t="s">
        <v>558</v>
      </c>
      <c r="D30" s="128" t="s">
        <v>559</v>
      </c>
      <c r="E30" s="246" t="s">
        <v>560</v>
      </c>
      <c r="F30" s="251" t="s">
        <v>561</v>
      </c>
      <c r="G30" s="128" t="s">
        <v>562</v>
      </c>
      <c r="H30" s="298" t="s">
        <v>563</v>
      </c>
    </row>
    <row r="31" spans="1:8" ht="81">
      <c r="A31" s="128" t="str">
        <f t="shared" si="1"/>
        <v>InstructionsA32</v>
      </c>
      <c r="B31" s="128" t="s">
        <v>392</v>
      </c>
      <c r="C31" s="128" t="s">
        <v>564</v>
      </c>
      <c r="D31" s="128" t="s">
        <v>565</v>
      </c>
      <c r="E31" s="250" t="s">
        <v>566</v>
      </c>
      <c r="F31" s="251" t="s">
        <v>567</v>
      </c>
      <c r="G31" s="128" t="s">
        <v>568</v>
      </c>
      <c r="H31" s="298" t="s">
        <v>569</v>
      </c>
    </row>
    <row r="32" spans="1:8" ht="94.5">
      <c r="A32" s="128" t="str">
        <f t="shared" si="1"/>
        <v>InstructionsA33</v>
      </c>
      <c r="B32" s="128" t="s">
        <v>392</v>
      </c>
      <c r="C32" s="128" t="s">
        <v>570</v>
      </c>
      <c r="D32" s="252" t="s">
        <v>571</v>
      </c>
      <c r="E32" s="253" t="s">
        <v>572</v>
      </c>
      <c r="F32" s="254" t="s">
        <v>573</v>
      </c>
      <c r="G32" s="252" t="s">
        <v>574</v>
      </c>
      <c r="H32" s="302" t="s">
        <v>575</v>
      </c>
    </row>
    <row r="33" spans="1:8" ht="67.5">
      <c r="A33" s="128" t="str">
        <f t="shared" si="0"/>
        <v>InstructionsA35</v>
      </c>
      <c r="B33" s="128" t="s">
        <v>392</v>
      </c>
      <c r="C33" s="128" t="s">
        <v>576</v>
      </c>
      <c r="D33" s="128" t="s">
        <v>577</v>
      </c>
      <c r="E33" s="250" t="s">
        <v>578</v>
      </c>
      <c r="F33" s="251" t="s">
        <v>579</v>
      </c>
      <c r="G33" s="255" t="s">
        <v>580</v>
      </c>
      <c r="H33" s="298" t="s">
        <v>581</v>
      </c>
    </row>
    <row r="34" spans="1:8" ht="202.5">
      <c r="A34" s="128" t="str">
        <f t="shared" si="0"/>
        <v>InstructionsA36</v>
      </c>
      <c r="B34" s="128" t="s">
        <v>392</v>
      </c>
      <c r="C34" s="128" t="s">
        <v>582</v>
      </c>
      <c r="D34" s="128" t="s">
        <v>583</v>
      </c>
      <c r="E34" s="246" t="s">
        <v>584</v>
      </c>
      <c r="F34" s="247" t="s">
        <v>585</v>
      </c>
      <c r="G34" s="255" t="s">
        <v>586</v>
      </c>
      <c r="H34" s="298" t="s">
        <v>587</v>
      </c>
    </row>
    <row r="35" spans="1:8" ht="40.5">
      <c r="A35" s="128" t="str">
        <f t="shared" si="0"/>
        <v>InstructionsA37</v>
      </c>
      <c r="B35" s="128" t="s">
        <v>392</v>
      </c>
      <c r="C35" s="128" t="s">
        <v>588</v>
      </c>
      <c r="D35" s="128" t="s">
        <v>589</v>
      </c>
      <c r="E35" s="250" t="s">
        <v>590</v>
      </c>
      <c r="F35" s="292" t="s">
        <v>591</v>
      </c>
      <c r="G35" s="128" t="s">
        <v>592</v>
      </c>
      <c r="H35" s="298" t="s">
        <v>593</v>
      </c>
    </row>
    <row r="36" spans="1:8" ht="65">
      <c r="A36" s="128" t="str">
        <f t="shared" si="0"/>
        <v>InstructionsA38</v>
      </c>
      <c r="B36" s="128" t="s">
        <v>392</v>
      </c>
      <c r="C36" s="128" t="s">
        <v>594</v>
      </c>
      <c r="D36" s="128" t="s">
        <v>595</v>
      </c>
      <c r="E36" s="250" t="s">
        <v>596</v>
      </c>
      <c r="F36" s="292" t="s">
        <v>597</v>
      </c>
      <c r="G36" s="128" t="s">
        <v>598</v>
      </c>
      <c r="H36" s="298" t="s">
        <v>599</v>
      </c>
    </row>
    <row r="37" spans="1:8" ht="121.5">
      <c r="A37" s="128" t="str">
        <f t="shared" si="0"/>
        <v>InstructionsA39</v>
      </c>
      <c r="B37" s="128" t="s">
        <v>392</v>
      </c>
      <c r="C37" s="128" t="s">
        <v>600</v>
      </c>
      <c r="D37" s="128" t="s">
        <v>601</v>
      </c>
      <c r="E37" s="250" t="s">
        <v>602</v>
      </c>
      <c r="F37" s="293" t="s">
        <v>603</v>
      </c>
      <c r="G37" s="128" t="s">
        <v>604</v>
      </c>
      <c r="H37" s="298" t="s">
        <v>605</v>
      </c>
    </row>
    <row r="38" spans="1:8" ht="148.5">
      <c r="A38" s="128" t="str">
        <f t="shared" si="0"/>
        <v>InstructionsA40</v>
      </c>
      <c r="B38" s="128" t="s">
        <v>392</v>
      </c>
      <c r="C38" s="128" t="s">
        <v>606</v>
      </c>
      <c r="D38" s="252" t="s">
        <v>607</v>
      </c>
      <c r="E38" s="253" t="s">
        <v>608</v>
      </c>
      <c r="F38" s="294" t="s">
        <v>609</v>
      </c>
      <c r="G38" s="252" t="s">
        <v>610</v>
      </c>
      <c r="H38" s="298" t="s">
        <v>611</v>
      </c>
    </row>
    <row r="39" spans="1:8" ht="189">
      <c r="A39" s="128" t="str">
        <f>B39&amp;C39</f>
        <v>InstructionsA41</v>
      </c>
      <c r="B39" s="128" t="s">
        <v>392</v>
      </c>
      <c r="C39" s="128" t="s">
        <v>612</v>
      </c>
      <c r="D39" s="252" t="s">
        <v>613</v>
      </c>
      <c r="E39" s="253" t="s">
        <v>614</v>
      </c>
      <c r="F39" s="294" t="s">
        <v>615</v>
      </c>
      <c r="G39" s="256" t="s">
        <v>616</v>
      </c>
      <c r="H39" s="302" t="s">
        <v>617</v>
      </c>
    </row>
    <row r="40" spans="1:8" ht="216">
      <c r="A40" s="128" t="str">
        <f>B40&amp;C40</f>
        <v>InstructionsA42</v>
      </c>
      <c r="B40" s="128" t="s">
        <v>392</v>
      </c>
      <c r="C40" s="128" t="s">
        <v>618</v>
      </c>
      <c r="D40" s="128" t="s">
        <v>619</v>
      </c>
      <c r="E40" s="246" t="s">
        <v>620</v>
      </c>
      <c r="F40" s="292" t="s">
        <v>621</v>
      </c>
      <c r="G40" s="128" t="s">
        <v>622</v>
      </c>
      <c r="H40" s="298" t="s">
        <v>623</v>
      </c>
    </row>
    <row r="41" spans="1:8" ht="67.5">
      <c r="A41" s="128" t="str">
        <f t="shared" si="0"/>
        <v>InstructionsA43</v>
      </c>
      <c r="B41" s="128" t="s">
        <v>392</v>
      </c>
      <c r="C41" s="128" t="s">
        <v>624</v>
      </c>
      <c r="D41" s="128" t="s">
        <v>625</v>
      </c>
      <c r="E41" s="246" t="s">
        <v>626</v>
      </c>
      <c r="F41" s="292" t="s">
        <v>627</v>
      </c>
      <c r="G41" s="128" t="s">
        <v>628</v>
      </c>
      <c r="H41" s="298" t="s">
        <v>629</v>
      </c>
    </row>
    <row r="42" spans="1:8" ht="67.5">
      <c r="A42" s="128" t="str">
        <f t="shared" si="0"/>
        <v>InstructionsA45</v>
      </c>
      <c r="B42" s="128" t="s">
        <v>392</v>
      </c>
      <c r="C42" s="128" t="s">
        <v>630</v>
      </c>
      <c r="D42" s="128" t="s">
        <v>631</v>
      </c>
      <c r="E42" s="246" t="s">
        <v>632</v>
      </c>
      <c r="F42" s="247" t="s">
        <v>633</v>
      </c>
      <c r="G42" s="128" t="s">
        <v>634</v>
      </c>
      <c r="H42" s="298" t="s">
        <v>635</v>
      </c>
    </row>
    <row r="43" spans="1:8" ht="81">
      <c r="A43" s="128" t="str">
        <f t="shared" si="0"/>
        <v>InstructionsA46</v>
      </c>
      <c r="B43" s="128" t="s">
        <v>392</v>
      </c>
      <c r="C43" s="128" t="s">
        <v>636</v>
      </c>
      <c r="D43" s="128" t="s">
        <v>637</v>
      </c>
      <c r="E43" s="250" t="s">
        <v>638</v>
      </c>
      <c r="F43" s="292" t="s">
        <v>639</v>
      </c>
      <c r="G43" s="255" t="s">
        <v>640</v>
      </c>
      <c r="H43" s="298" t="s">
        <v>641</v>
      </c>
    </row>
    <row r="44" spans="1:8" ht="54">
      <c r="A44" s="128" t="str">
        <f t="shared" si="0"/>
        <v>InstructionsA48</v>
      </c>
      <c r="B44" s="238" t="s">
        <v>392</v>
      </c>
      <c r="C44" s="128" t="s">
        <v>642</v>
      </c>
      <c r="D44" s="238" t="s">
        <v>643</v>
      </c>
      <c r="E44" s="246" t="s">
        <v>644</v>
      </c>
      <c r="F44" s="247" t="s">
        <v>645</v>
      </c>
      <c r="G44" s="257" t="s">
        <v>646</v>
      </c>
      <c r="H44" s="298" t="s">
        <v>647</v>
      </c>
    </row>
    <row r="45" spans="1:8" ht="40.5">
      <c r="A45" s="128" t="str">
        <f>B45&amp;C45</f>
        <v>InstructionsA49</v>
      </c>
      <c r="B45" s="128" t="s">
        <v>392</v>
      </c>
      <c r="C45" s="128" t="s">
        <v>648</v>
      </c>
      <c r="D45" s="128" t="s">
        <v>649</v>
      </c>
      <c r="E45" s="246" t="s">
        <v>650</v>
      </c>
      <c r="F45" s="247" t="s">
        <v>651</v>
      </c>
      <c r="G45" s="128" t="s">
        <v>652</v>
      </c>
      <c r="H45" s="301" t="s">
        <v>653</v>
      </c>
    </row>
    <row r="46" spans="1:8" ht="112">
      <c r="A46" s="128" t="str">
        <f t="shared" si="0"/>
        <v>InstructionsA50</v>
      </c>
      <c r="B46" s="128" t="s">
        <v>392</v>
      </c>
      <c r="C46" s="128" t="s">
        <v>654</v>
      </c>
      <c r="D46" s="128" t="s">
        <v>655</v>
      </c>
      <c r="E46" s="295" t="s">
        <v>656</v>
      </c>
      <c r="F46" s="292" t="s">
        <v>657</v>
      </c>
      <c r="G46" s="128" t="s">
        <v>658</v>
      </c>
      <c r="H46" s="298" t="s">
        <v>659</v>
      </c>
    </row>
    <row r="47" spans="1:8" ht="56">
      <c r="A47" s="128" t="str">
        <f t="shared" si="0"/>
        <v>InstructionsA51</v>
      </c>
      <c r="B47" s="128" t="s">
        <v>392</v>
      </c>
      <c r="C47" s="128" t="s">
        <v>660</v>
      </c>
      <c r="D47" s="128" t="s">
        <v>661</v>
      </c>
      <c r="E47" s="246" t="s">
        <v>662</v>
      </c>
      <c r="F47" s="247" t="s">
        <v>663</v>
      </c>
      <c r="G47" s="128" t="s">
        <v>664</v>
      </c>
      <c r="H47" s="298" t="s">
        <v>665</v>
      </c>
    </row>
    <row r="48" spans="1:8" ht="67.5">
      <c r="A48" s="128" t="str">
        <f t="shared" si="0"/>
        <v>InstructionsA52</v>
      </c>
      <c r="B48" s="128" t="s">
        <v>392</v>
      </c>
      <c r="C48" s="128" t="s">
        <v>666</v>
      </c>
      <c r="D48" s="128" t="s">
        <v>667</v>
      </c>
      <c r="E48" s="246" t="s">
        <v>668</v>
      </c>
      <c r="F48" s="247" t="s">
        <v>669</v>
      </c>
      <c r="G48" s="258" t="s">
        <v>670</v>
      </c>
      <c r="H48" s="298" t="s">
        <v>671</v>
      </c>
    </row>
    <row r="49" spans="1:8" ht="94.5">
      <c r="A49" s="128" t="str">
        <f>B49&amp;C49</f>
        <v>InstructionsA53</v>
      </c>
      <c r="B49" s="128" t="s">
        <v>392</v>
      </c>
      <c r="C49" s="128" t="s">
        <v>672</v>
      </c>
      <c r="D49" s="128" t="s">
        <v>673</v>
      </c>
      <c r="E49" s="246" t="s">
        <v>674</v>
      </c>
      <c r="F49" s="247" t="s">
        <v>675</v>
      </c>
      <c r="G49" s="258" t="s">
        <v>676</v>
      </c>
      <c r="H49" s="301" t="s">
        <v>677</v>
      </c>
    </row>
    <row r="50" spans="1:8" ht="54">
      <c r="A50" s="128" t="str">
        <f>B50&amp;C50</f>
        <v>InstructionsA54</v>
      </c>
      <c r="B50" s="128" t="s">
        <v>392</v>
      </c>
      <c r="C50" s="128" t="s">
        <v>678</v>
      </c>
      <c r="D50" s="128" t="s">
        <v>679</v>
      </c>
      <c r="E50" s="246" t="s">
        <v>680</v>
      </c>
      <c r="F50" s="247" t="s">
        <v>681</v>
      </c>
      <c r="G50" s="258" t="s">
        <v>682</v>
      </c>
      <c r="H50" s="298" t="s">
        <v>683</v>
      </c>
    </row>
    <row r="51" spans="1:8" ht="29">
      <c r="A51" s="128" t="str">
        <f t="shared" si="0"/>
        <v>InstructionsA55</v>
      </c>
      <c r="B51" s="128" t="s">
        <v>392</v>
      </c>
      <c r="C51" s="128" t="s">
        <v>684</v>
      </c>
      <c r="D51" s="128" t="s">
        <v>685</v>
      </c>
      <c r="E51" s="246" t="s">
        <v>686</v>
      </c>
      <c r="F51" s="247" t="s">
        <v>687</v>
      </c>
      <c r="G51" s="258" t="s">
        <v>688</v>
      </c>
      <c r="H51" s="298" t="s">
        <v>689</v>
      </c>
    </row>
    <row r="52" spans="1:8" ht="27">
      <c r="A52" s="128" t="str">
        <f t="shared" si="0"/>
        <v>InstructionsA56</v>
      </c>
      <c r="B52" s="128" t="s">
        <v>392</v>
      </c>
      <c r="C52" s="128" t="s">
        <v>690</v>
      </c>
      <c r="D52" s="128" t="s">
        <v>691</v>
      </c>
      <c r="E52" s="246" t="s">
        <v>692</v>
      </c>
      <c r="F52" s="247" t="s">
        <v>693</v>
      </c>
      <c r="G52" s="128" t="s">
        <v>694</v>
      </c>
      <c r="H52" s="298" t="s">
        <v>695</v>
      </c>
    </row>
    <row r="53" spans="1:8" ht="40.5">
      <c r="A53" s="128" t="str">
        <f t="shared" si="0"/>
        <v>InstructionsA57</v>
      </c>
      <c r="B53" s="128" t="s">
        <v>392</v>
      </c>
      <c r="C53" s="128" t="s">
        <v>696</v>
      </c>
      <c r="D53" s="128" t="s">
        <v>697</v>
      </c>
      <c r="E53" s="246" t="s">
        <v>698</v>
      </c>
      <c r="F53" s="247" t="s">
        <v>699</v>
      </c>
      <c r="G53" s="259" t="s">
        <v>700</v>
      </c>
      <c r="H53" s="298" t="s">
        <v>701</v>
      </c>
    </row>
    <row r="54" spans="1:8" ht="270">
      <c r="A54" s="128" t="str">
        <f t="shared" si="0"/>
        <v>InstructionsA58</v>
      </c>
      <c r="B54" s="128" t="s">
        <v>392</v>
      </c>
      <c r="C54" s="128" t="s">
        <v>702</v>
      </c>
      <c r="D54" s="128" t="s">
        <v>703</v>
      </c>
      <c r="E54" s="246" t="s">
        <v>704</v>
      </c>
      <c r="F54" s="247" t="s">
        <v>705</v>
      </c>
      <c r="G54" s="258" t="s">
        <v>706</v>
      </c>
      <c r="H54" s="298" t="s">
        <v>707</v>
      </c>
    </row>
    <row r="55" spans="1:8" ht="81">
      <c r="A55" s="128" t="str">
        <f t="shared" si="0"/>
        <v>InstructionsA59</v>
      </c>
      <c r="B55" s="128" t="s">
        <v>392</v>
      </c>
      <c r="C55" s="128" t="s">
        <v>708</v>
      </c>
      <c r="D55" s="128" t="s">
        <v>709</v>
      </c>
      <c r="E55" s="246" t="s">
        <v>710</v>
      </c>
      <c r="F55" s="247" t="s">
        <v>711</v>
      </c>
      <c r="G55" s="128" t="s">
        <v>712</v>
      </c>
      <c r="H55" s="298" t="s">
        <v>713</v>
      </c>
    </row>
    <row r="56" spans="1:8" ht="108">
      <c r="A56" s="128" t="str">
        <f t="shared" si="0"/>
        <v>InstructionsA60</v>
      </c>
      <c r="B56" s="128" t="s">
        <v>392</v>
      </c>
      <c r="C56" s="128" t="s">
        <v>714</v>
      </c>
      <c r="D56" s="128" t="s">
        <v>715</v>
      </c>
      <c r="E56" s="246" t="s">
        <v>716</v>
      </c>
      <c r="F56" s="247" t="s">
        <v>717</v>
      </c>
      <c r="G56" s="258" t="s">
        <v>718</v>
      </c>
      <c r="H56" s="298" t="s">
        <v>719</v>
      </c>
    </row>
    <row r="57" spans="1:8" ht="135">
      <c r="A57" s="128" t="str">
        <f t="shared" si="0"/>
        <v>InstructionsA61</v>
      </c>
      <c r="B57" s="128" t="s">
        <v>392</v>
      </c>
      <c r="C57" s="128" t="s">
        <v>720</v>
      </c>
      <c r="D57" s="128" t="s">
        <v>721</v>
      </c>
      <c r="E57" s="246" t="s">
        <v>722</v>
      </c>
      <c r="F57" s="247" t="s">
        <v>723</v>
      </c>
      <c r="G57" s="258" t="s">
        <v>724</v>
      </c>
      <c r="H57" s="298" t="s">
        <v>725</v>
      </c>
    </row>
    <row r="58" spans="1:8" ht="108">
      <c r="A58" s="128" t="str">
        <f>B58&amp;C58</f>
        <v>InstructionsA62</v>
      </c>
      <c r="B58" s="128" t="s">
        <v>392</v>
      </c>
      <c r="C58" s="128" t="s">
        <v>726</v>
      </c>
      <c r="D58" s="128" t="s">
        <v>727</v>
      </c>
      <c r="E58" s="295" t="s">
        <v>728</v>
      </c>
      <c r="F58" s="292" t="s">
        <v>729</v>
      </c>
      <c r="G58" s="258" t="s">
        <v>730</v>
      </c>
      <c r="H58" s="303" t="s">
        <v>731</v>
      </c>
    </row>
    <row r="59" spans="1:8" ht="42">
      <c r="A59" s="128" t="str">
        <f t="shared" si="0"/>
        <v>InstructionsA63</v>
      </c>
      <c r="B59" s="128" t="s">
        <v>392</v>
      </c>
      <c r="C59" s="128" t="s">
        <v>732</v>
      </c>
      <c r="D59" s="128" t="s">
        <v>733</v>
      </c>
      <c r="E59" s="246" t="s">
        <v>734</v>
      </c>
      <c r="F59" s="247" t="s">
        <v>735</v>
      </c>
      <c r="G59" s="128" t="s">
        <v>736</v>
      </c>
      <c r="H59" s="298" t="s">
        <v>737</v>
      </c>
    </row>
    <row r="60" spans="1:8" ht="165">
      <c r="A60" s="128" t="str">
        <f>B60&amp;C60</f>
        <v>InstructionsA65</v>
      </c>
      <c r="B60" s="128" t="s">
        <v>392</v>
      </c>
      <c r="C60" s="128" t="s">
        <v>738</v>
      </c>
      <c r="D60" s="128" t="s">
        <v>739</v>
      </c>
      <c r="E60" s="246" t="s">
        <v>740</v>
      </c>
      <c r="F60" s="247" t="s">
        <v>741</v>
      </c>
      <c r="G60" s="128" t="s">
        <v>742</v>
      </c>
      <c r="H60" s="301" t="s">
        <v>743</v>
      </c>
    </row>
    <row r="61" spans="1:8" ht="28">
      <c r="A61" s="128" t="str">
        <f t="shared" si="0"/>
        <v>InstructionsA67</v>
      </c>
      <c r="B61" s="128" t="s">
        <v>392</v>
      </c>
      <c r="C61" s="128" t="s">
        <v>744</v>
      </c>
      <c r="D61" s="128" t="s">
        <v>745</v>
      </c>
      <c r="E61" s="246" t="s">
        <v>746</v>
      </c>
      <c r="F61" s="247" t="s">
        <v>747</v>
      </c>
      <c r="G61" s="128" t="s">
        <v>748</v>
      </c>
      <c r="H61" s="301" t="s">
        <v>749</v>
      </c>
    </row>
    <row r="62" spans="1:8" ht="216">
      <c r="A62" s="128" t="str">
        <f t="shared" si="0"/>
        <v>InstructionsA68</v>
      </c>
      <c r="B62" s="128" t="s">
        <v>392</v>
      </c>
      <c r="C62" s="128" t="s">
        <v>750</v>
      </c>
      <c r="D62" s="128" t="s">
        <v>751</v>
      </c>
      <c r="E62" s="246" t="s">
        <v>752</v>
      </c>
      <c r="F62" s="247" t="s">
        <v>753</v>
      </c>
      <c r="G62" s="258" t="s">
        <v>754</v>
      </c>
      <c r="H62" s="298" t="s">
        <v>755</v>
      </c>
    </row>
    <row r="63" spans="1:8" ht="108">
      <c r="A63" s="128" t="str">
        <f t="shared" si="0"/>
        <v>InstructionsA69</v>
      </c>
      <c r="B63" s="128" t="s">
        <v>392</v>
      </c>
      <c r="C63" s="128" t="s">
        <v>756</v>
      </c>
      <c r="D63" s="128" t="s">
        <v>757</v>
      </c>
      <c r="E63" s="246" t="s">
        <v>758</v>
      </c>
      <c r="F63" s="247" t="s">
        <v>759</v>
      </c>
      <c r="G63" s="258" t="s">
        <v>760</v>
      </c>
      <c r="H63" s="298" t="s">
        <v>761</v>
      </c>
    </row>
    <row r="64" spans="1:8" ht="121.5">
      <c r="A64" s="128" t="str">
        <f t="shared" si="0"/>
        <v>InstructionsA70</v>
      </c>
      <c r="B64" s="128" t="s">
        <v>392</v>
      </c>
      <c r="C64" s="128" t="s">
        <v>762</v>
      </c>
      <c r="D64" s="128" t="s">
        <v>763</v>
      </c>
      <c r="E64" s="246" t="s">
        <v>764</v>
      </c>
      <c r="F64" s="247" t="s">
        <v>765</v>
      </c>
      <c r="G64" s="258" t="s">
        <v>766</v>
      </c>
      <c r="H64" s="298" t="s">
        <v>767</v>
      </c>
    </row>
    <row r="65" spans="1:8" ht="243">
      <c r="A65" s="128" t="str">
        <f t="shared" si="0"/>
        <v>InstructionsA71</v>
      </c>
      <c r="B65" s="128" t="s">
        <v>392</v>
      </c>
      <c r="C65" s="128" t="s">
        <v>768</v>
      </c>
      <c r="D65" s="128" t="s">
        <v>769</v>
      </c>
      <c r="E65" s="246" t="s">
        <v>770</v>
      </c>
      <c r="F65" s="247" t="s">
        <v>771</v>
      </c>
      <c r="G65" s="258" t="s">
        <v>772</v>
      </c>
      <c r="H65" s="298" t="s">
        <v>773</v>
      </c>
    </row>
    <row r="66" spans="1:8" ht="81">
      <c r="A66" s="128" t="str">
        <f t="shared" si="0"/>
        <v>InstructionsA72</v>
      </c>
      <c r="B66" s="128" t="s">
        <v>392</v>
      </c>
      <c r="C66" s="128" t="s">
        <v>774</v>
      </c>
      <c r="D66" s="128" t="s">
        <v>775</v>
      </c>
      <c r="E66" s="246" t="s">
        <v>776</v>
      </c>
      <c r="F66" s="247" t="s">
        <v>777</v>
      </c>
      <c r="G66" s="258" t="s">
        <v>778</v>
      </c>
      <c r="H66" s="298" t="s">
        <v>779</v>
      </c>
    </row>
    <row r="67" spans="1:8" ht="29">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5">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5">
      <c r="A77" s="128" t="str">
        <f t="shared" si="4"/>
        <v>DefinitionsB11</v>
      </c>
      <c r="B77" s="128" t="s">
        <v>786</v>
      </c>
      <c r="C77" s="128" t="s">
        <v>839</v>
      </c>
      <c r="D77" s="252" t="s">
        <v>840</v>
      </c>
      <c r="E77" s="252" t="s">
        <v>841</v>
      </c>
      <c r="F77" s="261" t="s">
        <v>842</v>
      </c>
      <c r="G77" s="262" t="s">
        <v>843</v>
      </c>
      <c r="H77" s="298" t="s">
        <v>844</v>
      </c>
    </row>
    <row r="78" spans="1:8" ht="13.5">
      <c r="A78" s="128" t="str">
        <f t="shared" si="4"/>
        <v>DefinitionsB12</v>
      </c>
      <c r="B78" s="128" t="s">
        <v>786</v>
      </c>
      <c r="C78" s="128" t="s">
        <v>845</v>
      </c>
      <c r="D78" s="252" t="s">
        <v>846</v>
      </c>
      <c r="E78" s="252" t="s">
        <v>847</v>
      </c>
      <c r="F78" s="261" t="s">
        <v>848</v>
      </c>
      <c r="G78" s="263" t="s">
        <v>849</v>
      </c>
      <c r="H78" s="298" t="s">
        <v>850</v>
      </c>
    </row>
    <row r="79" spans="1:8" ht="13.5">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7.5">
      <c r="A89" s="128" t="str">
        <f t="shared" si="4"/>
        <v>DefinitionsC3</v>
      </c>
      <c r="B89" s="128" t="s">
        <v>786</v>
      </c>
      <c r="C89" s="128" t="s">
        <v>908</v>
      </c>
      <c r="D89" s="128" t="s">
        <v>909</v>
      </c>
      <c r="E89" s="246" t="s">
        <v>910</v>
      </c>
      <c r="F89" s="247" t="s">
        <v>911</v>
      </c>
      <c r="G89" s="128" t="s">
        <v>912</v>
      </c>
      <c r="H89" s="298" t="s">
        <v>913</v>
      </c>
    </row>
    <row r="90" spans="1:8" ht="54">
      <c r="A90" s="128" t="str">
        <f t="shared" ref="A90" si="5">B90&amp;C90</f>
        <v>DefinitionsC4</v>
      </c>
      <c r="B90" s="128" t="s">
        <v>786</v>
      </c>
      <c r="C90" s="128" t="s">
        <v>914</v>
      </c>
      <c r="D90" s="128" t="s">
        <v>915</v>
      </c>
      <c r="E90" s="250" t="s">
        <v>916</v>
      </c>
      <c r="F90" s="247" t="s">
        <v>917</v>
      </c>
      <c r="G90" s="255" t="s">
        <v>918</v>
      </c>
      <c r="H90" s="298" t="s">
        <v>919</v>
      </c>
    </row>
    <row r="91" spans="1:8" ht="175.5">
      <c r="A91" s="128" t="str">
        <f>B91&amp;C91</f>
        <v>DefinitionsC5</v>
      </c>
      <c r="B91" s="128" t="s">
        <v>786</v>
      </c>
      <c r="C91" s="128" t="s">
        <v>920</v>
      </c>
      <c r="D91" s="128" t="s">
        <v>921</v>
      </c>
      <c r="E91" s="246" t="s">
        <v>922</v>
      </c>
      <c r="F91" s="247" t="s">
        <v>923</v>
      </c>
      <c r="G91" s="128" t="s">
        <v>924</v>
      </c>
      <c r="H91" s="298" t="s">
        <v>925</v>
      </c>
    </row>
    <row r="92" spans="1:8" ht="121.5">
      <c r="A92" s="128" t="str">
        <f>B92&amp;C92</f>
        <v>DefinitionsC6</v>
      </c>
      <c r="B92" s="128" t="s">
        <v>786</v>
      </c>
      <c r="C92" s="128" t="s">
        <v>926</v>
      </c>
      <c r="D92" s="128" t="s">
        <v>927</v>
      </c>
      <c r="E92" s="246" t="s">
        <v>928</v>
      </c>
      <c r="F92" s="247" t="s">
        <v>929</v>
      </c>
      <c r="G92" s="128" t="s">
        <v>930</v>
      </c>
      <c r="H92" s="298" t="s">
        <v>931</v>
      </c>
    </row>
    <row r="93" spans="1:8" ht="124.5">
      <c r="A93" s="128" t="str">
        <f t="shared" si="4"/>
        <v>DefinitionsC7</v>
      </c>
      <c r="B93" s="128" t="s">
        <v>786</v>
      </c>
      <c r="C93" s="128" t="s">
        <v>932</v>
      </c>
      <c r="D93" s="128" t="s">
        <v>933</v>
      </c>
      <c r="E93" s="246" t="s">
        <v>934</v>
      </c>
      <c r="F93" s="247" t="s">
        <v>935</v>
      </c>
      <c r="G93" s="128" t="s">
        <v>936</v>
      </c>
      <c r="H93" s="298" t="s">
        <v>937</v>
      </c>
    </row>
    <row r="94" spans="1:8" ht="94.5">
      <c r="A94" s="128" t="str">
        <f t="shared" si="4"/>
        <v>DefinitionsC8</v>
      </c>
      <c r="B94" s="128" t="s">
        <v>786</v>
      </c>
      <c r="C94" s="128" t="s">
        <v>938</v>
      </c>
      <c r="D94" s="128" t="s">
        <v>939</v>
      </c>
      <c r="E94" s="246" t="s">
        <v>940</v>
      </c>
      <c r="F94" s="247" t="s">
        <v>941</v>
      </c>
      <c r="G94" s="128" t="s">
        <v>942</v>
      </c>
      <c r="H94" s="298" t="s">
        <v>943</v>
      </c>
    </row>
    <row r="95" spans="1:8" ht="67.5">
      <c r="A95" s="128" t="str">
        <f t="shared" si="4"/>
        <v>DefinitionsC9</v>
      </c>
      <c r="B95" s="128" t="s">
        <v>786</v>
      </c>
      <c r="C95" s="128" t="s">
        <v>944</v>
      </c>
      <c r="D95" s="128" t="s">
        <v>945</v>
      </c>
      <c r="E95" s="246" t="s">
        <v>946</v>
      </c>
      <c r="F95" s="247" t="s">
        <v>947</v>
      </c>
      <c r="G95" s="128" t="s">
        <v>948</v>
      </c>
      <c r="H95" s="298" t="s">
        <v>949</v>
      </c>
    </row>
    <row r="96" spans="1:8" ht="175.5">
      <c r="A96" s="128" t="str">
        <f t="shared" si="4"/>
        <v>DefinitionsC10</v>
      </c>
      <c r="B96" s="128" t="s">
        <v>786</v>
      </c>
      <c r="C96" s="128" t="s">
        <v>950</v>
      </c>
      <c r="D96" s="128" t="s">
        <v>951</v>
      </c>
      <c r="E96" s="246" t="s">
        <v>952</v>
      </c>
      <c r="F96" s="247" t="s">
        <v>953</v>
      </c>
      <c r="G96" s="128" t="s">
        <v>954</v>
      </c>
      <c r="H96" s="298" t="s">
        <v>955</v>
      </c>
    </row>
    <row r="97" spans="1:8" ht="41.4" customHeight="1">
      <c r="A97" s="128" t="str">
        <f t="shared" si="4"/>
        <v>DefinitionsC11</v>
      </c>
      <c r="B97" s="128" t="s">
        <v>786</v>
      </c>
      <c r="C97" s="128" t="s">
        <v>956</v>
      </c>
      <c r="D97" s="252" t="s">
        <v>957</v>
      </c>
      <c r="E97" s="253" t="s">
        <v>958</v>
      </c>
      <c r="F97" s="260" t="s">
        <v>959</v>
      </c>
      <c r="G97" s="262" t="s">
        <v>960</v>
      </c>
      <c r="H97" s="304" t="s">
        <v>961</v>
      </c>
    </row>
    <row r="98" spans="1:8" ht="41.4" customHeight="1">
      <c r="A98" s="128" t="str">
        <f t="shared" si="4"/>
        <v>DefinitionsC12</v>
      </c>
      <c r="B98" s="128" t="s">
        <v>786</v>
      </c>
      <c r="C98" s="128" t="s">
        <v>962</v>
      </c>
      <c r="D98" s="252" t="s">
        <v>963</v>
      </c>
      <c r="E98" s="253" t="s">
        <v>964</v>
      </c>
      <c r="F98" s="260" t="s">
        <v>965</v>
      </c>
      <c r="G98" s="263" t="s">
        <v>966</v>
      </c>
      <c r="H98" s="298" t="s">
        <v>967</v>
      </c>
    </row>
    <row r="99" spans="1:8" ht="121.5">
      <c r="A99" s="128" t="str">
        <f t="shared" si="4"/>
        <v>DefinitionsC13</v>
      </c>
      <c r="B99" s="128" t="s">
        <v>786</v>
      </c>
      <c r="C99" s="128" t="s">
        <v>968</v>
      </c>
      <c r="D99" s="252" t="s">
        <v>969</v>
      </c>
      <c r="E99" s="253" t="s">
        <v>970</v>
      </c>
      <c r="F99" s="261" t="s">
        <v>971</v>
      </c>
      <c r="G99" s="263" t="s">
        <v>972</v>
      </c>
      <c r="H99" s="298" t="s">
        <v>973</v>
      </c>
    </row>
    <row r="100" spans="1:8" ht="54">
      <c r="A100" s="128" t="str">
        <f>B100&amp;C100</f>
        <v>DefinitionsC14</v>
      </c>
      <c r="B100" s="128" t="s">
        <v>786</v>
      </c>
      <c r="C100" s="128" t="s">
        <v>974</v>
      </c>
      <c r="D100" s="128" t="s">
        <v>975</v>
      </c>
      <c r="E100" s="246" t="s">
        <v>976</v>
      </c>
      <c r="F100" s="247" t="s">
        <v>977</v>
      </c>
      <c r="G100" s="128" t="s">
        <v>978</v>
      </c>
      <c r="H100" s="298" t="s">
        <v>979</v>
      </c>
    </row>
    <row r="101" spans="1:8" ht="162">
      <c r="A101" s="128" t="str">
        <f t="shared" si="4"/>
        <v>DefinitionsC15</v>
      </c>
      <c r="B101" s="128" t="s">
        <v>786</v>
      </c>
      <c r="C101" s="128" t="s">
        <v>980</v>
      </c>
      <c r="D101" s="128" t="s">
        <v>981</v>
      </c>
      <c r="E101" s="250" t="s">
        <v>982</v>
      </c>
      <c r="F101" s="247" t="s">
        <v>983</v>
      </c>
      <c r="G101" s="248" t="s">
        <v>984</v>
      </c>
      <c r="H101" s="298" t="s">
        <v>985</v>
      </c>
    </row>
    <row r="102" spans="1:8" ht="67.5">
      <c r="A102" s="128" t="str">
        <f>B102&amp;C102</f>
        <v>DefinitionsC16</v>
      </c>
      <c r="B102" s="128" t="s">
        <v>786</v>
      </c>
      <c r="C102" s="128" t="s">
        <v>986</v>
      </c>
      <c r="D102" s="128" t="s">
        <v>987</v>
      </c>
      <c r="E102" s="246" t="s">
        <v>988</v>
      </c>
      <c r="F102" s="247" t="s">
        <v>989</v>
      </c>
      <c r="G102" s="128" t="s">
        <v>990</v>
      </c>
      <c r="H102" s="298" t="s">
        <v>991</v>
      </c>
    </row>
    <row r="103" spans="1:8" ht="83.5">
      <c r="A103" s="128" t="str">
        <f>B103&amp;C103</f>
        <v>DefinitionsC17</v>
      </c>
      <c r="B103" s="128" t="s">
        <v>786</v>
      </c>
      <c r="C103" s="128" t="s">
        <v>992</v>
      </c>
      <c r="D103" s="128" t="s">
        <v>993</v>
      </c>
      <c r="E103" s="246" t="s">
        <v>994</v>
      </c>
      <c r="F103" s="247" t="s">
        <v>995</v>
      </c>
      <c r="G103" s="128" t="s">
        <v>996</v>
      </c>
      <c r="H103" s="298" t="s">
        <v>997</v>
      </c>
    </row>
    <row r="104" spans="1:8" ht="216">
      <c r="A104" s="128" t="str">
        <f>B104&amp;C104</f>
        <v>DefinitionsC18</v>
      </c>
      <c r="B104" s="128" t="s">
        <v>786</v>
      </c>
      <c r="C104" s="128" t="s">
        <v>998</v>
      </c>
      <c r="D104" s="128" t="s">
        <v>999</v>
      </c>
      <c r="E104" s="246" t="s">
        <v>1000</v>
      </c>
      <c r="F104" s="247" t="s">
        <v>1001</v>
      </c>
      <c r="G104" s="128" t="s">
        <v>1002</v>
      </c>
      <c r="H104" s="298" t="s">
        <v>1003</v>
      </c>
    </row>
    <row r="105" spans="1:8" ht="202.5">
      <c r="A105" s="128" t="str">
        <f>B105&amp;C105</f>
        <v>DefinitionsC19</v>
      </c>
      <c r="B105" s="128" t="s">
        <v>786</v>
      </c>
      <c r="C105" s="128" t="s">
        <v>1004</v>
      </c>
      <c r="D105" s="128" t="s">
        <v>1005</v>
      </c>
      <c r="E105" s="246" t="s">
        <v>1006</v>
      </c>
      <c r="F105" s="247" t="s">
        <v>1007</v>
      </c>
      <c r="G105" s="255" t="s">
        <v>1008</v>
      </c>
      <c r="H105" s="298" t="s">
        <v>1009</v>
      </c>
    </row>
    <row r="106" spans="1:8" ht="94.5">
      <c r="A106" s="128" t="str">
        <f t="shared" si="4"/>
        <v>DefinitionsC20</v>
      </c>
      <c r="B106" s="128" t="s">
        <v>786</v>
      </c>
      <c r="C106" s="128" t="s">
        <v>1010</v>
      </c>
      <c r="D106" s="252" t="s">
        <v>1011</v>
      </c>
      <c r="E106" s="253" t="s">
        <v>1012</v>
      </c>
      <c r="F106" s="261" t="s">
        <v>1013</v>
      </c>
      <c r="G106" s="262" t="s">
        <v>1014</v>
      </c>
      <c r="H106" s="298" t="s">
        <v>1015</v>
      </c>
    </row>
    <row r="107" spans="1:8" ht="81">
      <c r="A107" s="128" t="str">
        <f>B107&amp;C107</f>
        <v>DefinitionsC21</v>
      </c>
      <c r="B107" s="128" t="s">
        <v>786</v>
      </c>
      <c r="C107" s="128" t="s">
        <v>1016</v>
      </c>
      <c r="D107" s="128" t="s">
        <v>1017</v>
      </c>
      <c r="E107" s="246" t="s">
        <v>1018</v>
      </c>
      <c r="F107" s="247" t="s">
        <v>1019</v>
      </c>
      <c r="G107" s="128" t="s">
        <v>1020</v>
      </c>
      <c r="H107" s="298" t="s">
        <v>1021</v>
      </c>
    </row>
    <row r="108" spans="1:8" ht="27">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
      <c r="A112" s="128" t="str">
        <f t="shared" si="4"/>
        <v>DeclarationB4</v>
      </c>
      <c r="B112" s="128" t="s">
        <v>1022</v>
      </c>
      <c r="C112" s="128" t="s">
        <v>798</v>
      </c>
      <c r="D112" s="128" t="s">
        <v>1047</v>
      </c>
      <c r="E112" s="246" t="s">
        <v>1048</v>
      </c>
      <c r="F112" s="247" t="s">
        <v>1049</v>
      </c>
      <c r="G112" s="128" t="s">
        <v>1050</v>
      </c>
      <c r="H112" s="298" t="s">
        <v>1051</v>
      </c>
    </row>
    <row r="113" spans="1:8" ht="40.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5">
      <c r="A115" s="128" t="str">
        <f t="shared" si="4"/>
        <v>DeclarationB8</v>
      </c>
      <c r="B115" s="128" t="s">
        <v>1022</v>
      </c>
      <c r="C115" s="128" t="s">
        <v>822</v>
      </c>
      <c r="D115" s="128" t="s">
        <v>1062</v>
      </c>
      <c r="E115" s="246" t="s">
        <v>1063</v>
      </c>
      <c r="F115" s="247" t="s">
        <v>1064</v>
      </c>
      <c r="G115" s="128" t="s">
        <v>1065</v>
      </c>
      <c r="H115" s="298" t="s">
        <v>1066</v>
      </c>
    </row>
    <row r="116" spans="1:8" ht="15.5">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c r="A118" s="128" t="str">
        <f>B118&amp;C118</f>
        <v>DeclarationB10A</v>
      </c>
      <c r="B118" s="128" t="s">
        <v>1022</v>
      </c>
      <c r="C118" s="128" t="s">
        <v>1077</v>
      </c>
      <c r="D118" s="128" t="s">
        <v>1072</v>
      </c>
      <c r="E118" s="246" t="s">
        <v>1073</v>
      </c>
      <c r="F118" s="247" t="s">
        <v>1078</v>
      </c>
      <c r="G118" s="128" t="s">
        <v>1075</v>
      </c>
      <c r="H118" s="298" t="s">
        <v>1076</v>
      </c>
    </row>
    <row r="119" spans="1:8">
      <c r="A119" s="128" t="str">
        <f>B119&amp;C119</f>
        <v>DeclarationB10C</v>
      </c>
      <c r="B119" s="128" t="s">
        <v>1022</v>
      </c>
      <c r="C119" s="128" t="s">
        <v>1079</v>
      </c>
      <c r="D119" s="128" t="s">
        <v>1080</v>
      </c>
      <c r="E119" s="246" t="s">
        <v>1081</v>
      </c>
      <c r="F119" s="247" t="s">
        <v>1082</v>
      </c>
      <c r="G119" s="128" t="s">
        <v>1083</v>
      </c>
      <c r="H119" s="298" t="s">
        <v>1084</v>
      </c>
    </row>
    <row r="120" spans="1:8" ht="27">
      <c r="A120" s="128" t="str">
        <f>B120&amp;C120</f>
        <v>DeclarationB10B</v>
      </c>
      <c r="B120" s="128" t="s">
        <v>1022</v>
      </c>
      <c r="C120" s="128" t="s">
        <v>1085</v>
      </c>
      <c r="D120" s="128" t="s">
        <v>1086</v>
      </c>
      <c r="E120" s="246" t="s">
        <v>1087</v>
      </c>
      <c r="F120" s="247" t="s">
        <v>1088</v>
      </c>
      <c r="G120" s="128" t="s">
        <v>1089</v>
      </c>
      <c r="H120" s="298" t="s">
        <v>1090</v>
      </c>
    </row>
    <row r="121" spans="1:8" ht="27">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
      <c r="A133" s="128" t="str">
        <f t="shared" si="4"/>
        <v>DeclarationB24</v>
      </c>
      <c r="B133" s="128" t="s">
        <v>1022</v>
      </c>
      <c r="C133" s="128" t="s">
        <v>1153</v>
      </c>
      <c r="D133" s="128" t="s">
        <v>1154</v>
      </c>
      <c r="E133" s="246" t="s">
        <v>1155</v>
      </c>
      <c r="F133" s="247" t="s">
        <v>1156</v>
      </c>
      <c r="G133" s="128" t="s">
        <v>1157</v>
      </c>
      <c r="H133" s="298" t="s">
        <v>1158</v>
      </c>
    </row>
    <row r="134" spans="1:8" ht="51">
      <c r="A134" s="128" t="str">
        <f>B134&amp;C134</f>
        <v>DeclarationB25</v>
      </c>
      <c r="B134" s="128" t="s">
        <v>1022</v>
      </c>
      <c r="C134" s="128" t="s">
        <v>1159</v>
      </c>
      <c r="D134" s="128" t="s">
        <v>1160</v>
      </c>
      <c r="E134" s="246" t="s">
        <v>1161</v>
      </c>
      <c r="F134" s="292" t="s">
        <v>1162</v>
      </c>
      <c r="G134" s="128" t="s">
        <v>1163</v>
      </c>
      <c r="H134" s="298" t="s">
        <v>1164</v>
      </c>
    </row>
    <row r="135" spans="1:8" ht="27">
      <c r="A135" s="128" t="str">
        <f>B135&amp;C135</f>
        <v>DeclarationB31</v>
      </c>
      <c r="B135" s="128" t="s">
        <v>1022</v>
      </c>
      <c r="C135" s="128" t="s">
        <v>1165</v>
      </c>
      <c r="D135" s="128" t="s">
        <v>1166</v>
      </c>
      <c r="E135" s="128" t="s">
        <v>1167</v>
      </c>
      <c r="F135" s="292" t="s">
        <v>1168</v>
      </c>
      <c r="G135" s="128" t="s">
        <v>1169</v>
      </c>
      <c r="H135" s="298" t="s">
        <v>1170</v>
      </c>
    </row>
    <row r="136" spans="1:8" ht="65">
      <c r="A136" s="128" t="str">
        <f t="shared" si="4"/>
        <v>DeclarationB37</v>
      </c>
      <c r="B136" s="128" t="s">
        <v>1022</v>
      </c>
      <c r="C136" s="128" t="s">
        <v>1171</v>
      </c>
      <c r="D136" s="128" t="s">
        <v>1172</v>
      </c>
      <c r="E136" s="128" t="s">
        <v>1173</v>
      </c>
      <c r="F136" s="247" t="s">
        <v>1174</v>
      </c>
      <c r="G136" s="128" t="s">
        <v>1175</v>
      </c>
      <c r="H136" s="298" t="s">
        <v>1176</v>
      </c>
    </row>
    <row r="137" spans="1:8" ht="28">
      <c r="A137" s="128" t="str">
        <f t="shared" si="4"/>
        <v>DeclarationB43</v>
      </c>
      <c r="B137" s="128" t="s">
        <v>1022</v>
      </c>
      <c r="C137" s="128" t="s">
        <v>1177</v>
      </c>
      <c r="D137" s="128" t="s">
        <v>1178</v>
      </c>
      <c r="E137" s="246" t="s">
        <v>1179</v>
      </c>
      <c r="F137" s="247" t="s">
        <v>1180</v>
      </c>
      <c r="G137" s="128" t="s">
        <v>1181</v>
      </c>
      <c r="H137" s="298" t="s">
        <v>1182</v>
      </c>
    </row>
    <row r="138" spans="1:8" ht="28">
      <c r="A138" s="128" t="str">
        <f t="shared" si="4"/>
        <v>DeclarationB49</v>
      </c>
      <c r="B138" s="128" t="s">
        <v>1022</v>
      </c>
      <c r="C138" s="128" t="s">
        <v>1183</v>
      </c>
      <c r="D138" s="128" t="s">
        <v>1184</v>
      </c>
      <c r="E138" s="246" t="s">
        <v>1185</v>
      </c>
      <c r="F138" s="292" t="s">
        <v>1186</v>
      </c>
      <c r="G138" s="128" t="s">
        <v>1187</v>
      </c>
      <c r="H138" s="298" t="s">
        <v>1188</v>
      </c>
    </row>
    <row r="139" spans="1:8" ht="40.5">
      <c r="A139" s="128" t="str">
        <f t="shared" si="4"/>
        <v>DeclarationB55</v>
      </c>
      <c r="B139" s="128" t="s">
        <v>1022</v>
      </c>
      <c r="C139" s="128" t="s">
        <v>1189</v>
      </c>
      <c r="D139" s="128" t="s">
        <v>1190</v>
      </c>
      <c r="E139" s="250" t="s">
        <v>1191</v>
      </c>
      <c r="F139" s="247" t="s">
        <v>1192</v>
      </c>
      <c r="G139" s="128" t="s">
        <v>1193</v>
      </c>
      <c r="H139" s="298" t="s">
        <v>1194</v>
      </c>
    </row>
    <row r="140" spans="1:8" ht="40.5">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
      <c r="A142" s="128" t="str">
        <f t="shared" si="4"/>
        <v>DeclarationB69</v>
      </c>
      <c r="B142" s="128" t="s">
        <v>1022</v>
      </c>
      <c r="C142" s="128" t="s">
        <v>1207</v>
      </c>
      <c r="D142" s="128" t="s">
        <v>1208</v>
      </c>
      <c r="E142" s="246" t="s">
        <v>12802</v>
      </c>
      <c r="F142" s="292" t="s">
        <v>1209</v>
      </c>
      <c r="G142" s="128" t="s">
        <v>1210</v>
      </c>
      <c r="H142" s="298" t="s">
        <v>1211</v>
      </c>
    </row>
    <row r="143" spans="1:8" ht="40.5">
      <c r="A143" s="128" t="str">
        <f t="shared" si="4"/>
        <v>DeclarationB71</v>
      </c>
      <c r="B143" s="128" t="s">
        <v>1022</v>
      </c>
      <c r="C143" s="128" t="s">
        <v>1212</v>
      </c>
      <c r="D143" s="128" t="s">
        <v>1213</v>
      </c>
      <c r="E143" s="246" t="s">
        <v>12803</v>
      </c>
      <c r="F143" s="247" t="s">
        <v>1214</v>
      </c>
      <c r="G143" s="128" t="s">
        <v>1215</v>
      </c>
      <c r="H143" s="298" t="s">
        <v>1216</v>
      </c>
    </row>
    <row r="144" spans="1:8" ht="40.5">
      <c r="A144" s="128" t="str">
        <f t="shared" ref="A144:A177" si="6">B144&amp;C144</f>
        <v>Declaration</v>
      </c>
      <c r="B144" s="128" t="s">
        <v>1022</v>
      </c>
      <c r="D144" s="128" t="s">
        <v>1217</v>
      </c>
      <c r="E144" s="246" t="s">
        <v>1218</v>
      </c>
      <c r="F144" s="267" t="s">
        <v>1219</v>
      </c>
      <c r="G144" s="128" t="s">
        <v>1220</v>
      </c>
      <c r="H144" s="298" t="s">
        <v>1221</v>
      </c>
    </row>
    <row r="145" spans="1:8" ht="54">
      <c r="A145" s="128" t="str">
        <f t="shared" si="6"/>
        <v>DeclarationB73</v>
      </c>
      <c r="B145" s="128" t="s">
        <v>1022</v>
      </c>
      <c r="C145" s="128" t="s">
        <v>1222</v>
      </c>
      <c r="D145" s="128" t="s">
        <v>1223</v>
      </c>
      <c r="E145" s="250" t="s">
        <v>1224</v>
      </c>
      <c r="F145" s="247" t="s">
        <v>1225</v>
      </c>
      <c r="G145" s="128" t="s">
        <v>1226</v>
      </c>
      <c r="H145" s="298" t="s">
        <v>1227</v>
      </c>
    </row>
    <row r="146" spans="1:8" ht="27">
      <c r="A146" s="128" t="str">
        <f t="shared" si="6"/>
        <v>DeclarationB77</v>
      </c>
      <c r="B146" s="128" t="s">
        <v>1022</v>
      </c>
      <c r="C146" s="128" t="s">
        <v>1228</v>
      </c>
      <c r="D146" s="128" t="s">
        <v>1229</v>
      </c>
      <c r="E146" s="246" t="s">
        <v>12804</v>
      </c>
      <c r="F146" s="247" t="s">
        <v>1230</v>
      </c>
      <c r="G146" s="128" t="s">
        <v>1231</v>
      </c>
      <c r="H146" s="304" t="s">
        <v>1232</v>
      </c>
    </row>
    <row r="147" spans="1:8" ht="40.5">
      <c r="A147" s="128" t="str">
        <f t="shared" si="6"/>
        <v>DeclarationB79</v>
      </c>
      <c r="B147" s="128" t="s">
        <v>1022</v>
      </c>
      <c r="C147" s="128" t="s">
        <v>1233</v>
      </c>
      <c r="D147" s="128" t="s">
        <v>1234</v>
      </c>
      <c r="E147" s="250" t="s">
        <v>1235</v>
      </c>
      <c r="F147" s="292" t="s">
        <v>1236</v>
      </c>
      <c r="G147" s="128" t="s">
        <v>1237</v>
      </c>
      <c r="H147" s="298" t="s">
        <v>1238</v>
      </c>
    </row>
    <row r="148" spans="1:8" ht="34">
      <c r="A148" s="128" t="str">
        <f t="shared" si="6"/>
        <v>DeclarationB81</v>
      </c>
      <c r="B148" s="128" t="s">
        <v>1022</v>
      </c>
      <c r="C148" s="128" t="s">
        <v>1239</v>
      </c>
      <c r="D148" s="128" t="s">
        <v>1240</v>
      </c>
      <c r="E148" s="246" t="s">
        <v>12805</v>
      </c>
      <c r="F148" s="247" t="s">
        <v>1241</v>
      </c>
      <c r="G148" s="128" t="s">
        <v>1242</v>
      </c>
      <c r="H148" s="298" t="s">
        <v>1243</v>
      </c>
    </row>
    <row r="149" spans="1:8" ht="28">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ht="13.5">
      <c r="A169" s="128" t="str">
        <f t="shared" si="6"/>
        <v>DeclarationB89</v>
      </c>
      <c r="B169" s="128" t="s">
        <v>1022</v>
      </c>
      <c r="C169" s="128" t="s">
        <v>1302</v>
      </c>
      <c r="D169" s="269">
        <v>1</v>
      </c>
      <c r="E169" s="269">
        <v>1</v>
      </c>
      <c r="F169" s="270">
        <v>1</v>
      </c>
      <c r="G169" s="269">
        <v>1</v>
      </c>
      <c r="H169" s="298" t="s">
        <v>1303</v>
      </c>
    </row>
    <row r="170" spans="1:8">
      <c r="A170" s="128" t="str">
        <f t="shared" si="6"/>
        <v>DeclarationB90</v>
      </c>
      <c r="B170" s="128" t="s">
        <v>1022</v>
      </c>
      <c r="C170" s="128" t="s">
        <v>1304</v>
      </c>
      <c r="D170" s="271" t="s">
        <v>31</v>
      </c>
      <c r="E170" s="272" t="s">
        <v>1305</v>
      </c>
      <c r="F170" s="296" t="s">
        <v>1306</v>
      </c>
      <c r="G170" s="273" t="s">
        <v>1307</v>
      </c>
      <c r="H170" s="300" t="s">
        <v>1308</v>
      </c>
    </row>
    <row r="171" spans="1:8">
      <c r="A171" s="128" t="str">
        <f t="shared" si="6"/>
        <v>DeclarationB91</v>
      </c>
      <c r="B171" s="128" t="s">
        <v>1022</v>
      </c>
      <c r="C171" s="128" t="s">
        <v>1309</v>
      </c>
      <c r="D171" s="271" t="s">
        <v>32</v>
      </c>
      <c r="E171" s="272" t="s">
        <v>1310</v>
      </c>
      <c r="F171" s="296" t="s">
        <v>1311</v>
      </c>
      <c r="G171" s="273" t="s">
        <v>1312</v>
      </c>
      <c r="H171" s="300" t="s">
        <v>1313</v>
      </c>
    </row>
    <row r="172" spans="1:8">
      <c r="A172" s="128" t="str">
        <f t="shared" si="6"/>
        <v>DeclarationB92</v>
      </c>
      <c r="B172" s="128" t="s">
        <v>1022</v>
      </c>
      <c r="C172" s="128" t="s">
        <v>1314</v>
      </c>
      <c r="D172" s="271" t="s">
        <v>33</v>
      </c>
      <c r="E172" s="272" t="s">
        <v>1315</v>
      </c>
      <c r="F172" s="296" t="s">
        <v>1316</v>
      </c>
      <c r="G172" s="273" t="s">
        <v>1317</v>
      </c>
      <c r="H172" s="300" t="s">
        <v>1318</v>
      </c>
    </row>
    <row r="173" spans="1:8">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ht="14.5">
      <c r="A175" s="128" t="str">
        <f t="shared" si="6"/>
        <v>DeclarationB95</v>
      </c>
      <c r="B175" s="128" t="s">
        <v>1022</v>
      </c>
      <c r="C175" s="128" t="s">
        <v>1329</v>
      </c>
      <c r="D175" s="274" t="s">
        <v>1330</v>
      </c>
      <c r="E175" s="275" t="s">
        <v>1331</v>
      </c>
      <c r="F175" s="292" t="s">
        <v>1332</v>
      </c>
      <c r="G175" s="276" t="s">
        <v>1333</v>
      </c>
      <c r="H175" s="298" t="s">
        <v>1334</v>
      </c>
    </row>
    <row r="176" spans="1:8" ht="14.5">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
      <c r="A179" s="128" t="str">
        <f t="shared" si="8"/>
        <v>Smelter Look-upA4</v>
      </c>
      <c r="B179" s="128" t="s">
        <v>1343</v>
      </c>
      <c r="C179" s="128" t="s">
        <v>1349</v>
      </c>
      <c r="D179" s="128" t="s">
        <v>1350</v>
      </c>
      <c r="E179" s="279"/>
      <c r="F179" s="247" t="s">
        <v>1351</v>
      </c>
      <c r="G179" s="128" t="s">
        <v>1352</v>
      </c>
      <c r="H179" s="298" t="s">
        <v>1353</v>
      </c>
    </row>
    <row r="180" spans="1:8" ht="27">
      <c r="A180" s="128" t="str">
        <f t="shared" si="8"/>
        <v>Smelter Look-upB4</v>
      </c>
      <c r="B180" s="128" t="s">
        <v>1343</v>
      </c>
      <c r="C180" s="128" t="s">
        <v>798</v>
      </c>
      <c r="D180" s="128" t="s">
        <v>1354</v>
      </c>
      <c r="E180" s="295" t="s">
        <v>1355</v>
      </c>
      <c r="F180" s="292" t="s">
        <v>1356</v>
      </c>
      <c r="G180" s="128" t="s">
        <v>1357</v>
      </c>
      <c r="H180" s="298" t="s">
        <v>1358</v>
      </c>
    </row>
    <row r="181" spans="1:8" ht="27">
      <c r="A181" s="128" t="str">
        <f t="shared" si="8"/>
        <v>Smelter Look-up</v>
      </c>
      <c r="B181" s="128" t="s">
        <v>1343</v>
      </c>
      <c r="D181" s="128" t="s">
        <v>1359</v>
      </c>
      <c r="E181" s="279"/>
      <c r="F181" s="247" t="s">
        <v>1360</v>
      </c>
      <c r="G181" s="128" t="s">
        <v>1361</v>
      </c>
      <c r="H181" s="298" t="s">
        <v>1362</v>
      </c>
    </row>
    <row r="182" spans="1:8" ht="27">
      <c r="A182" s="128" t="str">
        <f t="shared" si="8"/>
        <v>Smelter Look-upC4</v>
      </c>
      <c r="B182" s="128" t="s">
        <v>1343</v>
      </c>
      <c r="C182" s="128" t="s">
        <v>914</v>
      </c>
      <c r="D182" s="128" t="s">
        <v>1363</v>
      </c>
      <c r="E182" s="279" t="s">
        <v>1364</v>
      </c>
      <c r="F182" s="247" t="s">
        <v>1365</v>
      </c>
      <c r="G182" s="128" t="s">
        <v>1366</v>
      </c>
      <c r="H182" s="298" t="s">
        <v>1367</v>
      </c>
    </row>
    <row r="183" spans="1:8" ht="27">
      <c r="A183" s="128" t="str">
        <f t="shared" si="8"/>
        <v>Smelter Look-upD4</v>
      </c>
      <c r="B183" s="128" t="s">
        <v>1343</v>
      </c>
      <c r="C183" s="128" t="s">
        <v>1368</v>
      </c>
      <c r="D183" s="128" t="s">
        <v>1369</v>
      </c>
      <c r="E183" s="279"/>
      <c r="F183" s="247" t="s">
        <v>1370</v>
      </c>
      <c r="G183" s="128" t="s">
        <v>1371</v>
      </c>
      <c r="H183" s="298" t="s">
        <v>1372</v>
      </c>
    </row>
    <row r="184" spans="1:8" ht="27">
      <c r="A184" s="128" t="str">
        <f t="shared" si="8"/>
        <v>Smelter Look-upE4</v>
      </c>
      <c r="B184" s="128" t="s">
        <v>1343</v>
      </c>
      <c r="C184" s="128" t="s">
        <v>1373</v>
      </c>
      <c r="D184" s="128" t="s">
        <v>1374</v>
      </c>
      <c r="E184" s="295" t="s">
        <v>1375</v>
      </c>
      <c r="F184" s="292" t="s">
        <v>1376</v>
      </c>
      <c r="G184" s="128" t="s">
        <v>1377</v>
      </c>
      <c r="H184" s="298" t="s">
        <v>1378</v>
      </c>
    </row>
    <row r="185" spans="1:8" ht="27">
      <c r="A185" s="128" t="str">
        <f t="shared" si="8"/>
        <v>Smelter Look-upF4</v>
      </c>
      <c r="B185" s="128" t="s">
        <v>1343</v>
      </c>
      <c r="C185" s="128" t="s">
        <v>1379</v>
      </c>
      <c r="D185" s="128" t="s">
        <v>1380</v>
      </c>
      <c r="E185" s="246" t="s">
        <v>1381</v>
      </c>
      <c r="F185" s="247" t="s">
        <v>1382</v>
      </c>
      <c r="G185" s="128" t="s">
        <v>1383</v>
      </c>
      <c r="H185" s="298" t="s">
        <v>1384</v>
      </c>
    </row>
    <row r="186" spans="1:8" ht="27">
      <c r="A186" s="128" t="str">
        <f t="shared" si="8"/>
        <v>Smelter Look-upG4</v>
      </c>
      <c r="B186" s="128" t="s">
        <v>1343</v>
      </c>
      <c r="C186" s="128" t="s">
        <v>1385</v>
      </c>
      <c r="D186" s="128" t="s">
        <v>1386</v>
      </c>
      <c r="E186" s="246" t="s">
        <v>1387</v>
      </c>
      <c r="F186" s="247" t="s">
        <v>1388</v>
      </c>
      <c r="G186" s="128" t="s">
        <v>1389</v>
      </c>
      <c r="H186" s="298" t="s">
        <v>1390</v>
      </c>
    </row>
    <row r="187" spans="1:8" ht="27">
      <c r="A187" s="128" t="str">
        <f t="shared" si="8"/>
        <v>Smelter Look-upH4</v>
      </c>
      <c r="B187" s="128" t="s">
        <v>1343</v>
      </c>
      <c r="C187" s="128" t="s">
        <v>1391</v>
      </c>
      <c r="D187" s="128" t="s">
        <v>1392</v>
      </c>
      <c r="E187" s="246" t="s">
        <v>1393</v>
      </c>
      <c r="F187" s="247" t="s">
        <v>1394</v>
      </c>
      <c r="G187" s="128" t="s">
        <v>1395</v>
      </c>
      <c r="H187" s="298" t="s">
        <v>1396</v>
      </c>
    </row>
    <row r="188" spans="1:8" ht="27">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6">
      <c r="A192" s="128" t="str">
        <f t="shared" si="8"/>
        <v>Smelter ListD4</v>
      </c>
      <c r="B192" s="128" t="s">
        <v>1403</v>
      </c>
      <c r="C192" s="128" t="s">
        <v>1368</v>
      </c>
      <c r="D192" s="280" t="s">
        <v>1414</v>
      </c>
      <c r="E192" s="295" t="s">
        <v>1415</v>
      </c>
      <c r="F192" s="292" t="s">
        <v>1416</v>
      </c>
      <c r="G192" s="280" t="s">
        <v>1417</v>
      </c>
      <c r="H192" s="298" t="s">
        <v>1418</v>
      </c>
    </row>
    <row r="193" spans="1:8" ht="15.5">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8">
      <c r="A200" s="128" t="str">
        <f t="shared" si="8"/>
        <v>Smelter ListN4</v>
      </c>
      <c r="B200" s="128" t="s">
        <v>1403</v>
      </c>
      <c r="C200" s="128" t="s">
        <v>1443</v>
      </c>
      <c r="D200" s="128" t="s">
        <v>1444</v>
      </c>
      <c r="E200" s="246" t="s">
        <v>1445</v>
      </c>
      <c r="F200" s="247" t="s">
        <v>1446</v>
      </c>
      <c r="G200" s="128" t="s">
        <v>1447</v>
      </c>
      <c r="H200" s="298" t="s">
        <v>1448</v>
      </c>
    </row>
    <row r="201" spans="1:8" ht="28">
      <c r="A201" s="128" t="str">
        <f t="shared" si="8"/>
        <v>Smelter ListO4</v>
      </c>
      <c r="B201" s="128" t="s">
        <v>1403</v>
      </c>
      <c r="C201" s="128" t="s">
        <v>1449</v>
      </c>
      <c r="D201" s="128" t="s">
        <v>1450</v>
      </c>
      <c r="E201" s="246" t="s">
        <v>1451</v>
      </c>
      <c r="F201" s="247" t="s">
        <v>1452</v>
      </c>
      <c r="G201" s="128" t="s">
        <v>1453</v>
      </c>
      <c r="H201" s="298" t="s">
        <v>1454</v>
      </c>
    </row>
    <row r="202" spans="1:8" ht="27">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
      <c r="A204" s="128" t="str">
        <f t="shared" si="8"/>
        <v>Smelter ListJ2</v>
      </c>
      <c r="B204" s="128" t="s">
        <v>1403</v>
      </c>
      <c r="C204" s="128" t="s">
        <v>1462</v>
      </c>
      <c r="D204" s="128" t="s">
        <v>1463</v>
      </c>
      <c r="E204" s="246" t="s">
        <v>1464</v>
      </c>
      <c r="F204" s="247" t="s">
        <v>1465</v>
      </c>
      <c r="G204" s="128" t="s">
        <v>1466</v>
      </c>
      <c r="H204" s="298" t="s">
        <v>1467</v>
      </c>
    </row>
    <row r="205" spans="1:8" ht="26">
      <c r="A205" s="128" t="str">
        <f t="shared" si="8"/>
        <v>Smelter ListB2</v>
      </c>
      <c r="B205" s="128" t="s">
        <v>1403</v>
      </c>
      <c r="C205" s="128" t="s">
        <v>787</v>
      </c>
      <c r="D205" s="281" t="s">
        <v>1468</v>
      </c>
      <c r="E205" s="246" t="s">
        <v>1469</v>
      </c>
      <c r="F205" s="247" t="s">
        <v>1470</v>
      </c>
      <c r="G205" s="281" t="s">
        <v>1471</v>
      </c>
      <c r="H205" s="298" t="s">
        <v>1472</v>
      </c>
    </row>
    <row r="206" spans="1:8" ht="364.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0.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7">
      <c r="A223" s="128" t="str">
        <f t="shared" si="8"/>
        <v>CheckerJ4</v>
      </c>
      <c r="B223" s="128" t="s">
        <v>1486</v>
      </c>
      <c r="C223" s="128" t="s">
        <v>1424</v>
      </c>
      <c r="D223" s="128" t="s">
        <v>1535</v>
      </c>
      <c r="E223" s="246" t="s">
        <v>1536</v>
      </c>
      <c r="F223" s="247" t="s">
        <v>1537</v>
      </c>
      <c r="G223" s="128" t="s">
        <v>1538</v>
      </c>
      <c r="H223" s="298" t="s">
        <v>1539</v>
      </c>
    </row>
    <row r="224" spans="1:8" ht="27">
      <c r="A224" s="128" t="str">
        <f t="shared" si="8"/>
        <v>CheckerJ5</v>
      </c>
      <c r="B224" s="128" t="s">
        <v>1486</v>
      </c>
      <c r="C224" s="128" t="s">
        <v>1540</v>
      </c>
      <c r="D224" s="128" t="s">
        <v>1541</v>
      </c>
      <c r="E224" s="246" t="s">
        <v>1542</v>
      </c>
      <c r="F224" s="247" t="s">
        <v>1543</v>
      </c>
      <c r="G224" s="128" t="s">
        <v>1544</v>
      </c>
      <c r="H224" s="298" t="s">
        <v>1545</v>
      </c>
    </row>
    <row r="225" spans="1:8" ht="27">
      <c r="A225" s="128" t="str">
        <f t="shared" si="8"/>
        <v>CheckerJ6</v>
      </c>
      <c r="B225" s="128" t="s">
        <v>1486</v>
      </c>
      <c r="C225" s="128" t="s">
        <v>1546</v>
      </c>
      <c r="D225" s="128" t="s">
        <v>1547</v>
      </c>
      <c r="E225" s="246" t="s">
        <v>1548</v>
      </c>
      <c r="F225" s="247" t="s">
        <v>1549</v>
      </c>
      <c r="G225" s="128" t="s">
        <v>1550</v>
      </c>
      <c r="H225" s="298" t="s">
        <v>1551</v>
      </c>
    </row>
    <row r="226" spans="1:8">
      <c r="A226" s="128" t="str">
        <f t="shared" si="8"/>
        <v>CheckerJ7</v>
      </c>
      <c r="B226" s="128" t="s">
        <v>1486</v>
      </c>
      <c r="C226" s="128" t="s">
        <v>1552</v>
      </c>
      <c r="D226" s="128" t="s">
        <v>1553</v>
      </c>
      <c r="E226" s="246" t="s">
        <v>1554</v>
      </c>
      <c r="F226" s="247" t="s">
        <v>1555</v>
      </c>
      <c r="G226" s="128" t="s">
        <v>1556</v>
      </c>
      <c r="H226" s="298" t="s">
        <v>1557</v>
      </c>
    </row>
    <row r="227" spans="1:8" ht="28">
      <c r="A227" s="128" t="str">
        <f t="shared" si="8"/>
        <v>CheckerJ8</v>
      </c>
      <c r="B227" s="128" t="s">
        <v>1486</v>
      </c>
      <c r="C227" s="128" t="s">
        <v>1558</v>
      </c>
      <c r="D227" s="128" t="s">
        <v>1559</v>
      </c>
      <c r="E227" s="246" t="s">
        <v>1560</v>
      </c>
      <c r="F227" s="247" t="s">
        <v>1561</v>
      </c>
      <c r="G227" s="128" t="s">
        <v>1562</v>
      </c>
      <c r="H227" s="298" t="s">
        <v>1563</v>
      </c>
    </row>
    <row r="228" spans="1:8" ht="27">
      <c r="A228" s="128" t="str">
        <f t="shared" si="8"/>
        <v>CheckerJ9</v>
      </c>
      <c r="B228" s="128" t="s">
        <v>1486</v>
      </c>
      <c r="C228" s="128" t="s">
        <v>1564</v>
      </c>
      <c r="D228" s="128" t="s">
        <v>1565</v>
      </c>
      <c r="E228" s="246" t="s">
        <v>1566</v>
      </c>
      <c r="F228" s="247" t="s">
        <v>1567</v>
      </c>
      <c r="G228" s="128" t="s">
        <v>1568</v>
      </c>
      <c r="H228" s="298" t="s">
        <v>1569</v>
      </c>
    </row>
    <row r="229" spans="1:8" ht="28">
      <c r="A229" s="128" t="str">
        <f t="shared" si="8"/>
        <v>CheckerJ10</v>
      </c>
      <c r="B229" s="128" t="s">
        <v>1486</v>
      </c>
      <c r="C229" s="128" t="s">
        <v>1570</v>
      </c>
      <c r="D229" s="128" t="s">
        <v>1571</v>
      </c>
      <c r="E229" s="246" t="s">
        <v>1572</v>
      </c>
      <c r="F229" s="247" t="s">
        <v>1573</v>
      </c>
      <c r="G229" s="258" t="s">
        <v>1574</v>
      </c>
      <c r="H229" s="298" t="s">
        <v>1575</v>
      </c>
    </row>
    <row r="230" spans="1:8" ht="28">
      <c r="A230" s="128" t="str">
        <f t="shared" si="8"/>
        <v>CheckerJ11</v>
      </c>
      <c r="B230" s="128" t="s">
        <v>1486</v>
      </c>
      <c r="C230" s="128" t="s">
        <v>1576</v>
      </c>
      <c r="D230" s="128" t="s">
        <v>1577</v>
      </c>
      <c r="E230" s="246" t="s">
        <v>1578</v>
      </c>
      <c r="F230" s="247" t="s">
        <v>1579</v>
      </c>
      <c r="G230" s="258" t="s">
        <v>1580</v>
      </c>
      <c r="H230" s="298" t="s">
        <v>1581</v>
      </c>
    </row>
    <row r="231" spans="1:8" ht="29">
      <c r="A231" s="128" t="str">
        <f t="shared" si="8"/>
        <v>CheckerJ12</v>
      </c>
      <c r="B231" s="128" t="s">
        <v>1486</v>
      </c>
      <c r="C231" s="128" t="s">
        <v>1582</v>
      </c>
      <c r="D231" s="128" t="s">
        <v>1583</v>
      </c>
      <c r="E231" s="246" t="s">
        <v>1584</v>
      </c>
      <c r="F231" s="247" t="s">
        <v>1585</v>
      </c>
      <c r="G231" s="258" t="s">
        <v>1586</v>
      </c>
      <c r="H231" s="298" t="s">
        <v>1587</v>
      </c>
    </row>
    <row r="232" spans="1:8" ht="27">
      <c r="A232" s="128" t="str">
        <f t="shared" si="8"/>
        <v>CheckerJ13</v>
      </c>
      <c r="B232" s="128" t="s">
        <v>1486</v>
      </c>
      <c r="C232" s="128" t="s">
        <v>1588</v>
      </c>
      <c r="D232" s="128" t="s">
        <v>1589</v>
      </c>
      <c r="E232" s="246" t="s">
        <v>1590</v>
      </c>
      <c r="F232" s="247" t="s">
        <v>1591</v>
      </c>
      <c r="G232" s="128" t="s">
        <v>1592</v>
      </c>
      <c r="H232" s="298" t="s">
        <v>1593</v>
      </c>
    </row>
    <row r="233" spans="1:8" ht="29">
      <c r="A233" s="128" t="str">
        <f t="shared" si="8"/>
        <v>CheckerJ15</v>
      </c>
      <c r="B233" s="128" t="s">
        <v>1486</v>
      </c>
      <c r="C233" s="128" t="s">
        <v>1594</v>
      </c>
      <c r="D233" s="252" t="s">
        <v>1595</v>
      </c>
      <c r="E233" s="253" t="s">
        <v>1596</v>
      </c>
      <c r="F233" s="260" t="s">
        <v>1597</v>
      </c>
      <c r="G233" s="258" t="s">
        <v>1598</v>
      </c>
      <c r="H233" s="298" t="s">
        <v>1599</v>
      </c>
    </row>
    <row r="234" spans="1:8" ht="29">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0.5">
      <c r="A237" s="128" t="str">
        <f t="shared" si="8"/>
        <v>CheckerJ20</v>
      </c>
      <c r="B237" s="128" t="s">
        <v>1486</v>
      </c>
      <c r="C237" s="128" t="s">
        <v>1608</v>
      </c>
      <c r="D237" s="252" t="s">
        <v>1609</v>
      </c>
      <c r="E237" s="253" t="s">
        <v>1610</v>
      </c>
      <c r="F237" s="260" t="s">
        <v>1611</v>
      </c>
      <c r="G237" s="265" t="s">
        <v>1612</v>
      </c>
      <c r="H237" s="298" t="s">
        <v>1613</v>
      </c>
    </row>
    <row r="238" spans="1:8" ht="40.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4">
      <c r="A240" s="128" t="str">
        <f t="shared" si="9"/>
        <v>CheckerJ23</v>
      </c>
      <c r="B240" s="128" t="s">
        <v>1486</v>
      </c>
      <c r="C240" s="128" t="s">
        <v>1621</v>
      </c>
      <c r="D240" s="252" t="s">
        <v>1622</v>
      </c>
      <c r="E240" s="253" t="s">
        <v>1623</v>
      </c>
      <c r="F240" s="260" t="s">
        <v>1624</v>
      </c>
      <c r="G240" s="259" t="s">
        <v>1625</v>
      </c>
      <c r="H240" s="298" t="s">
        <v>1626</v>
      </c>
    </row>
    <row r="241" spans="1:8" ht="42">
      <c r="A241" s="128" t="str">
        <f t="shared" si="9"/>
        <v>CheckerJ24</v>
      </c>
      <c r="B241" s="128" t="s">
        <v>1486</v>
      </c>
      <c r="C241" s="128" t="s">
        <v>1627</v>
      </c>
      <c r="D241" s="252" t="s">
        <v>1628</v>
      </c>
      <c r="E241" s="253" t="s">
        <v>1629</v>
      </c>
      <c r="F241" s="260" t="s">
        <v>1630</v>
      </c>
      <c r="G241" s="258" t="s">
        <v>1631</v>
      </c>
      <c r="H241" s="298" t="s">
        <v>1632</v>
      </c>
    </row>
    <row r="242" spans="1:8" ht="54">
      <c r="A242" s="128" t="str">
        <f t="shared" si="9"/>
        <v>CheckerJ28</v>
      </c>
      <c r="B242" s="128" t="s">
        <v>1486</v>
      </c>
      <c r="C242" s="128" t="s">
        <v>1633</v>
      </c>
      <c r="D242" s="252" t="s">
        <v>1634</v>
      </c>
      <c r="E242" s="253" t="s">
        <v>1635</v>
      </c>
      <c r="F242" s="260" t="s">
        <v>1636</v>
      </c>
      <c r="G242" s="258" t="s">
        <v>1637</v>
      </c>
      <c r="H242" s="298" t="s">
        <v>1638</v>
      </c>
    </row>
    <row r="243" spans="1:8" ht="40.5">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9">
      <c r="A246" s="128" t="str">
        <f t="shared" si="9"/>
        <v>CheckerJ33</v>
      </c>
      <c r="B246" s="128" t="s">
        <v>1486</v>
      </c>
      <c r="C246" s="128" t="s">
        <v>1646</v>
      </c>
      <c r="D246" s="128" t="s">
        <v>1647</v>
      </c>
      <c r="E246" s="246" t="s">
        <v>1648</v>
      </c>
      <c r="F246" s="247" t="s">
        <v>1649</v>
      </c>
      <c r="G246" s="258" t="s">
        <v>1650</v>
      </c>
      <c r="H246" s="298" t="s">
        <v>1651</v>
      </c>
    </row>
    <row r="247" spans="1:8" ht="29">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0.5">
      <c r="A250" s="128" t="str">
        <f t="shared" si="9"/>
        <v>CheckerJ38</v>
      </c>
      <c r="B250" s="128" t="s">
        <v>1486</v>
      </c>
      <c r="C250" s="128" t="s">
        <v>1659</v>
      </c>
      <c r="D250" s="128" t="s">
        <v>1660</v>
      </c>
      <c r="E250" s="246" t="s">
        <v>1661</v>
      </c>
      <c r="F250" s="247" t="s">
        <v>1662</v>
      </c>
      <c r="G250" s="258" t="s">
        <v>1663</v>
      </c>
      <c r="H250" s="298" t="s">
        <v>1664</v>
      </c>
    </row>
    <row r="251" spans="1:8" ht="40.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4">
      <c r="A254" s="128" t="str">
        <f t="shared" si="9"/>
        <v>CheckerJ43</v>
      </c>
      <c r="B254" s="128" t="s">
        <v>1486</v>
      </c>
      <c r="C254" s="128" t="s">
        <v>1672</v>
      </c>
      <c r="D254" s="252" t="s">
        <v>1673</v>
      </c>
      <c r="E254" s="253" t="s">
        <v>1674</v>
      </c>
      <c r="F254" s="260" t="s">
        <v>1675</v>
      </c>
      <c r="G254" s="265" t="s">
        <v>1676</v>
      </c>
      <c r="H254" s="298" t="s">
        <v>1677</v>
      </c>
    </row>
    <row r="255" spans="1:8" ht="34">
      <c r="A255" s="128" t="str">
        <f t="shared" si="9"/>
        <v>CheckerJ44</v>
      </c>
      <c r="B255" s="128" t="s">
        <v>1486</v>
      </c>
      <c r="C255" s="128" t="s">
        <v>1678</v>
      </c>
      <c r="D255" s="252" t="s">
        <v>1679</v>
      </c>
      <c r="E255" s="253" t="s">
        <v>1680</v>
      </c>
      <c r="F255" s="260" t="s">
        <v>1681</v>
      </c>
      <c r="G255" s="265" t="s">
        <v>1682</v>
      </c>
      <c r="H255" s="298" t="s">
        <v>1683</v>
      </c>
    </row>
    <row r="256" spans="1:8" ht="80.400000000000006" customHeight="1">
      <c r="A256" s="128" t="str">
        <f t="shared" si="9"/>
        <v>CheckerJ53</v>
      </c>
      <c r="B256" s="128" t="s">
        <v>1486</v>
      </c>
      <c r="C256" s="128" t="s">
        <v>1684</v>
      </c>
      <c r="D256" s="252" t="s">
        <v>1685</v>
      </c>
      <c r="E256" s="253" t="s">
        <v>1686</v>
      </c>
      <c r="F256" s="260" t="s">
        <v>1687</v>
      </c>
      <c r="G256" s="258" t="s">
        <v>1688</v>
      </c>
      <c r="H256" s="298" t="s">
        <v>1689</v>
      </c>
    </row>
    <row r="257" spans="1:8" ht="80.400000000000006"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0.5">
      <c r="A258" s="128" t="str">
        <f t="shared" si="9"/>
        <v>CheckerJ50</v>
      </c>
      <c r="B258" s="128" t="s">
        <v>1486</v>
      </c>
      <c r="C258" s="128" t="s">
        <v>1696</v>
      </c>
      <c r="D258" s="252" t="s">
        <v>1697</v>
      </c>
      <c r="E258" s="253" t="s">
        <v>1698</v>
      </c>
      <c r="F258" s="260" t="s">
        <v>1699</v>
      </c>
      <c r="G258" s="283" t="s">
        <v>1700</v>
      </c>
      <c r="H258" s="298" t="s">
        <v>1701</v>
      </c>
    </row>
    <row r="259" spans="1:8" ht="34">
      <c r="A259" s="128" t="str">
        <f t="shared" si="9"/>
        <v>CheckerJ48</v>
      </c>
      <c r="B259" s="128" t="s">
        <v>1486</v>
      </c>
      <c r="C259" s="128" t="s">
        <v>1702</v>
      </c>
      <c r="D259" s="128" t="s">
        <v>1703</v>
      </c>
      <c r="E259" s="250" t="s">
        <v>1704</v>
      </c>
      <c r="F259" s="247" t="s">
        <v>1705</v>
      </c>
      <c r="G259" s="248" t="s">
        <v>1706</v>
      </c>
      <c r="H259" s="298" t="s">
        <v>1707</v>
      </c>
    </row>
    <row r="260" spans="1:8" ht="51">
      <c r="A260" s="128" t="str">
        <f>B260&amp;C260</f>
        <v>CheckerJ51</v>
      </c>
      <c r="B260" s="128" t="s">
        <v>1486</v>
      </c>
      <c r="C260" s="128" t="s">
        <v>1708</v>
      </c>
      <c r="D260" s="128" t="s">
        <v>1709</v>
      </c>
      <c r="E260" s="250" t="s">
        <v>1710</v>
      </c>
      <c r="F260" s="284" t="s">
        <v>1711</v>
      </c>
      <c r="G260" s="255" t="s">
        <v>1712</v>
      </c>
      <c r="H260" s="298" t="s">
        <v>1713</v>
      </c>
    </row>
    <row r="261" spans="1:8" ht="54">
      <c r="A261" s="128" t="str">
        <f t="shared" si="9"/>
        <v>CheckerJ47</v>
      </c>
      <c r="B261" s="128" t="s">
        <v>1486</v>
      </c>
      <c r="C261" s="128" t="s">
        <v>1714</v>
      </c>
      <c r="D261" s="128" t="s">
        <v>1715</v>
      </c>
      <c r="E261" s="246" t="s">
        <v>1716</v>
      </c>
      <c r="F261" s="247" t="s">
        <v>1717</v>
      </c>
      <c r="G261" s="128" t="s">
        <v>1718</v>
      </c>
      <c r="H261" s="298" t="s">
        <v>1719</v>
      </c>
    </row>
    <row r="262" spans="1:8" ht="34">
      <c r="A262" s="128" t="str">
        <f t="shared" si="9"/>
        <v>CheckerJ55</v>
      </c>
      <c r="B262" s="128" t="s">
        <v>1486</v>
      </c>
      <c r="C262" s="128" t="s">
        <v>12779</v>
      </c>
      <c r="D262" s="252" t="s">
        <v>12780</v>
      </c>
      <c r="E262" s="253" t="s">
        <v>12781</v>
      </c>
      <c r="F262" s="260" t="s">
        <v>12782</v>
      </c>
      <c r="G262" s="283" t="s">
        <v>12783</v>
      </c>
      <c r="H262" s="298" t="s">
        <v>12784</v>
      </c>
    </row>
    <row r="263" spans="1:8" ht="40.5">
      <c r="A263" s="128" t="str">
        <f t="shared" si="9"/>
        <v>CheckerJ49</v>
      </c>
      <c r="B263" s="128" t="s">
        <v>1486</v>
      </c>
      <c r="C263" s="128" t="s">
        <v>1720</v>
      </c>
      <c r="D263" s="128" t="s">
        <v>1721</v>
      </c>
      <c r="E263" s="246" t="s">
        <v>1722</v>
      </c>
      <c r="F263" s="247" t="s">
        <v>1723</v>
      </c>
      <c r="G263" s="128" t="s">
        <v>1724</v>
      </c>
      <c r="H263" s="298" t="s">
        <v>1725</v>
      </c>
    </row>
    <row r="264" spans="1:8" ht="40.5" hidden="1">
      <c r="A264" s="128" t="str">
        <f t="shared" si="9"/>
        <v>Checker</v>
      </c>
      <c r="B264" s="128" t="s">
        <v>1486</v>
      </c>
      <c r="D264" s="128" t="s">
        <v>1726</v>
      </c>
      <c r="E264" s="246" t="s">
        <v>1727</v>
      </c>
      <c r="F264" s="247" t="s">
        <v>1728</v>
      </c>
      <c r="G264" s="128" t="s">
        <v>1729</v>
      </c>
      <c r="H264" s="298" t="s">
        <v>1730</v>
      </c>
    </row>
    <row r="265" spans="1:8" ht="54"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4">
      <c r="A267" s="128" t="str">
        <f t="shared" si="9"/>
        <v>CheckerJ56</v>
      </c>
      <c r="B267" s="128" t="s">
        <v>1486</v>
      </c>
      <c r="C267" s="128" t="s">
        <v>1737</v>
      </c>
      <c r="D267" s="128" t="s">
        <v>12785</v>
      </c>
      <c r="E267" s="250" t="s">
        <v>12786</v>
      </c>
      <c r="F267" s="247" t="s">
        <v>12787</v>
      </c>
      <c r="G267" s="255" t="s">
        <v>12788</v>
      </c>
      <c r="H267" s="298" t="s">
        <v>12789</v>
      </c>
    </row>
    <row r="268" spans="1:8" ht="42.65" customHeight="1">
      <c r="A268" s="128" t="str">
        <f t="shared" si="9"/>
        <v>CheckerJ58</v>
      </c>
      <c r="B268" s="128" t="s">
        <v>1486</v>
      </c>
      <c r="C268" s="128" t="s">
        <v>1738</v>
      </c>
      <c r="D268" s="128" t="s">
        <v>12794</v>
      </c>
      <c r="E268" s="246" t="s">
        <v>12790</v>
      </c>
      <c r="F268" s="247" t="s">
        <v>12791</v>
      </c>
      <c r="G268" s="128" t="s">
        <v>12792</v>
      </c>
      <c r="H268" s="298" t="s">
        <v>12793</v>
      </c>
    </row>
    <row r="269" spans="1:8" ht="28">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4">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4">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0.5">
      <c r="A279" s="128" t="str">
        <f t="shared" ref="A279:A284" si="11">B279&amp;C279</f>
        <v>CheckerL57</v>
      </c>
      <c r="B279" s="128" t="s">
        <v>1486</v>
      </c>
      <c r="C279" s="128" t="s">
        <v>1762</v>
      </c>
      <c r="D279" s="128" t="s">
        <v>1763</v>
      </c>
      <c r="E279" s="246" t="s">
        <v>1757</v>
      </c>
      <c r="F279" s="288" t="s">
        <v>1758</v>
      </c>
      <c r="G279" s="128" t="s">
        <v>1764</v>
      </c>
      <c r="H279" s="298" t="s">
        <v>1765</v>
      </c>
    </row>
    <row r="280" spans="1:8" ht="28">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7">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1">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7.5">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7">
      <c r="A292" s="128" t="s">
        <v>1261</v>
      </c>
      <c r="D292" s="128" t="s">
        <v>1810</v>
      </c>
      <c r="E292" s="246" t="s">
        <v>1811</v>
      </c>
      <c r="F292" s="247" t="s">
        <v>1812</v>
      </c>
      <c r="G292" s="129" t="s">
        <v>1813</v>
      </c>
      <c r="H292" s="298" t="s">
        <v>1814</v>
      </c>
    </row>
    <row r="293" spans="1:8" ht="54">
      <c r="A293" s="128" t="s">
        <v>1261</v>
      </c>
      <c r="D293" s="128" t="s">
        <v>1815</v>
      </c>
      <c r="E293" s="246" t="s">
        <v>1816</v>
      </c>
      <c r="F293" s="247" t="s">
        <v>1817</v>
      </c>
      <c r="G293" s="129" t="s">
        <v>1818</v>
      </c>
      <c r="H293" s="298" t="s">
        <v>1819</v>
      </c>
    </row>
  </sheetData>
  <autoFilter ref="A1:H29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purl.org/dc/dcmitype/"/>
    <ds:schemaRef ds:uri="1b346dad-8a15-4ce7-a19a-07d981b0c5e2"/>
    <ds:schemaRef ds:uri="http://schemas.microsoft.com/office/2006/documentManagement/types"/>
    <ds:schemaRef ds:uri="http://purl.org/dc/terms/"/>
    <ds:schemaRef ds:uri="a54701f6-876b-4337-a24e-543e1bd311e6"/>
    <ds:schemaRef ds:uri="http://www.w3.org/XML/1998/namespace"/>
    <ds:schemaRef ds:uri="http://schemas.microsoft.com/office/infopath/2007/PartnerControls"/>
    <ds:schemaRef ds:uri="http://purl.org/dc/elements/1.1/"/>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Natascha Huang(黃怡蓁)</cp:lastModifiedBy>
  <cp:revision/>
  <dcterms:created xsi:type="dcterms:W3CDTF">2010-06-21T21:00:23Z</dcterms:created>
  <dcterms:modified xsi:type="dcterms:W3CDTF">2022-11-11T08:54:43Z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